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on pile" sheetId="1" r:id="rId1"/>
    <sheet name="on ground" sheetId="2" r:id="rId2"/>
    <sheet name="Sheet3" sheetId="3" r:id="rId3"/>
  </sheets>
  <definedNames>
    <definedName name="_xlnm.Print_Area" localSheetId="1">'on ground'!$A$1:$K$194</definedName>
    <definedName name="_xlnm.Print_Area" localSheetId="0">'on pile'!$B$1:$L$184</definedName>
    <definedName name="_xlnm.Print_Titles" localSheetId="0">'on pile'!$1:$1</definedName>
  </definedNames>
  <calcPr fullCalcOnLoad="1"/>
</workbook>
</file>

<file path=xl/sharedStrings.xml><?xml version="1.0" encoding="utf-8"?>
<sst xmlns="http://schemas.openxmlformats.org/spreadsheetml/2006/main" count="902" uniqueCount="216">
  <si>
    <t>=</t>
  </si>
  <si>
    <t>ksc.</t>
  </si>
  <si>
    <t>Allowable tensile stress of deformed steel bar</t>
  </si>
  <si>
    <t>Yeild stress of deformed steel bar</t>
  </si>
  <si>
    <t>Yeild stress of round steel bar</t>
  </si>
  <si>
    <t>Allowable tensile stress of round steel bar</t>
  </si>
  <si>
    <t>n</t>
  </si>
  <si>
    <t>For defdeformed bar</t>
  </si>
  <si>
    <t>=      1/(1+fs/nfc)</t>
  </si>
  <si>
    <t>=      1-k/3</t>
  </si>
  <si>
    <t>=      0.5fckj</t>
  </si>
  <si>
    <t>k</t>
  </si>
  <si>
    <t>j</t>
  </si>
  <si>
    <t>R</t>
  </si>
  <si>
    <t>For round bar</t>
  </si>
  <si>
    <t>พระราชบัญญัติควบคุมอาคาร พ.ศ. 2522</t>
  </si>
  <si>
    <t>A.C.I. Code</t>
  </si>
  <si>
    <t>B.S. Code</t>
  </si>
  <si>
    <t>Project    :</t>
  </si>
  <si>
    <t>Owner         :</t>
  </si>
  <si>
    <t>Building  :</t>
  </si>
  <si>
    <t>Engineer     :</t>
  </si>
  <si>
    <t>เจริญ รวยจินดา</t>
  </si>
  <si>
    <t>Location :</t>
  </si>
  <si>
    <t>Date            :</t>
  </si>
  <si>
    <t>ข้อกำหนดในการออกแบบ</t>
  </si>
  <si>
    <t>(Design Criteria)</t>
  </si>
  <si>
    <t xml:space="preserve">Reference : </t>
  </si>
  <si>
    <t>1.</t>
  </si>
  <si>
    <t>มาตรฐานสำหรับอาคารคอนกรีตเสริมเหล็ก ของ ว.ส.ท. (E.I.T. Standard)</t>
  </si>
  <si>
    <t>2.</t>
  </si>
  <si>
    <t>มาตรฐานสำหรับโครงสร้างไม้และเหล็ก ของ ว.ส.ท. (E.I.T. Standard)</t>
  </si>
  <si>
    <t>3.</t>
  </si>
  <si>
    <t>4.</t>
  </si>
  <si>
    <t>5.</t>
  </si>
  <si>
    <t>Concrete :</t>
  </si>
  <si>
    <t>Max Compressive Stress of Concrete (28 days cylinder test)</t>
  </si>
  <si>
    <t xml:space="preserve">fc'                </t>
  </si>
  <si>
    <t>Allowable compressive stress of concrete</t>
  </si>
  <si>
    <t>fc             =</t>
  </si>
  <si>
    <r>
      <t xml:space="preserve">0.375fc' </t>
    </r>
    <r>
      <rPr>
        <sz val="12"/>
        <rFont val="AngsanaUPC"/>
        <family val="1"/>
      </rPr>
      <t>≤</t>
    </r>
    <r>
      <rPr>
        <sz val="16"/>
        <rFont val="AngsanaUPC"/>
        <family val="1"/>
      </rPr>
      <t xml:space="preserve"> 65     </t>
    </r>
  </si>
  <si>
    <t>Allowable flexural shear stress of concrete</t>
  </si>
  <si>
    <r>
      <t>vc</t>
    </r>
    <r>
      <rPr>
        <sz val="12"/>
        <rFont val="AngsanaUPC"/>
        <family val="1"/>
      </rPr>
      <t xml:space="preserve">1          </t>
    </r>
    <r>
      <rPr>
        <sz val="16"/>
        <rFont val="AngsanaUPC"/>
        <family val="1"/>
      </rPr>
      <t>=</t>
    </r>
  </si>
  <si>
    <t>0.29√fc'</t>
  </si>
  <si>
    <t xml:space="preserve">Allowable punching shear stress of concrete </t>
  </si>
  <si>
    <r>
      <t>vc</t>
    </r>
    <r>
      <rPr>
        <sz val="12"/>
        <rFont val="AngsanaUPC"/>
        <family val="1"/>
      </rPr>
      <t xml:space="preserve">2         </t>
    </r>
    <r>
      <rPr>
        <sz val="16"/>
        <rFont val="AngsanaUPC"/>
        <family val="1"/>
      </rPr>
      <t xml:space="preserve"> =</t>
    </r>
  </si>
  <si>
    <t>0.53√fc'</t>
  </si>
  <si>
    <t xml:space="preserve">Allowable  actual shear stress of concrete </t>
  </si>
  <si>
    <r>
      <t>vc</t>
    </r>
    <r>
      <rPr>
        <sz val="12"/>
        <rFont val="AngsanaUPC"/>
        <family val="1"/>
      </rPr>
      <t xml:space="preserve">3          </t>
    </r>
    <r>
      <rPr>
        <sz val="16"/>
        <rFont val="AngsanaUPC"/>
        <family val="1"/>
      </rPr>
      <t>=</t>
    </r>
  </si>
  <si>
    <t>1.32√fc'</t>
  </si>
  <si>
    <t xml:space="preserve">Allowable  total shear stress of concrete </t>
  </si>
  <si>
    <r>
      <t>vc</t>
    </r>
    <r>
      <rPr>
        <sz val="12"/>
        <rFont val="AngsanaUPC"/>
        <family val="1"/>
      </rPr>
      <t xml:space="preserve">4          </t>
    </r>
    <r>
      <rPr>
        <sz val="16"/>
        <rFont val="AngsanaUPC"/>
        <family val="1"/>
      </rPr>
      <t>=</t>
    </r>
  </si>
  <si>
    <t>1.65√fc'</t>
  </si>
  <si>
    <t>Modulus of elasticity</t>
  </si>
  <si>
    <t>Ec           =</t>
  </si>
  <si>
    <t>Steel Reinf. :</t>
  </si>
  <si>
    <t>Es           =</t>
  </si>
  <si>
    <t>fy           =</t>
  </si>
  <si>
    <t>fs           =</t>
  </si>
  <si>
    <r>
      <t xml:space="preserve">0.5fy </t>
    </r>
    <r>
      <rPr>
        <sz val="12"/>
        <rFont val="AngsanaUPC"/>
        <family val="1"/>
      </rPr>
      <t>≤</t>
    </r>
    <r>
      <rPr>
        <sz val="16"/>
        <rFont val="AngsanaUPC"/>
        <family val="1"/>
      </rPr>
      <t xml:space="preserve"> 1,700</t>
    </r>
  </si>
  <si>
    <t>fy          =</t>
  </si>
  <si>
    <t xml:space="preserve"> </t>
  </si>
  <si>
    <t>=      Es/Ec</t>
  </si>
  <si>
    <t>ระยะทาบเหล็ก               :</t>
  </si>
  <si>
    <t>เหล็กข้ออ้อย ระยะทาบต้องมากกว่าหรือเท่ากับ  40 เท่า ของขนาดเส้นผ่าศูนย์กลางเหล็ก</t>
  </si>
  <si>
    <t>เหล็กผิวเรียบ ระยะทาบต้องมากกว่าหรือเท่ากับ 50 เท่า ของขนาดเส้นผ่าศูนย์กลางเหล็ก</t>
  </si>
  <si>
    <t>การเชื่อมต่อเหล็ก          :</t>
  </si>
  <si>
    <t>รอยเชื่อมต้องมีกำลังประลัยมากกว่าหรือเท่ากับ 1.25 เท่า ของกำลังประลัยของเหล็กที่จะเชื่อม</t>
  </si>
  <si>
    <t>เหล็กรูปพรรณ                :</t>
  </si>
  <si>
    <t xml:space="preserve">เหล็กรูปพรรณทั่วไปใช้ </t>
  </si>
  <si>
    <t>Fy          =</t>
  </si>
  <si>
    <t>เมื่อมีความหนาสูงสุดไม่เกิน 40 มม.</t>
  </si>
  <si>
    <t>เมื่อมีความหนาเกิน 40 มม.</t>
  </si>
  <si>
    <t>เหล็กหล่อ</t>
  </si>
  <si>
    <t>ลวดเชื่อมและการเชื่อม :</t>
  </si>
  <si>
    <r>
      <t xml:space="preserve">ในการเชื่อมเหล็กให้ใช้ลวดเชื่อม </t>
    </r>
    <r>
      <rPr>
        <b/>
        <sz val="16"/>
        <rFont val="AngsanaUPC"/>
        <family val="1"/>
      </rPr>
      <t xml:space="preserve">E-70 </t>
    </r>
    <r>
      <rPr>
        <sz val="16"/>
        <rFont val="AngsanaUPC"/>
        <family val="1"/>
      </rPr>
      <t>ขนาดการเชื่อมและระยะต่างๆ ให้เป็นไปตามมาตรฐานอาคารเหล็ก</t>
    </r>
  </si>
  <si>
    <t>น้ำหนักบรรทุกจร         :</t>
  </si>
  <si>
    <t>น้ำหนักบรรทุกคงที่       :</t>
  </si>
  <si>
    <t>คอนกรีต</t>
  </si>
  <si>
    <t>น้ำ</t>
  </si>
  <si>
    <t>ดินแห้ง</t>
  </si>
  <si>
    <t>ดินเปียก</t>
  </si>
  <si>
    <t>น้ำเสีย</t>
  </si>
  <si>
    <t>ฝาบ่อ</t>
  </si>
  <si>
    <t>แรงกดที่ผิวดิน</t>
  </si>
  <si>
    <t>มุมเสียดทานของดิน       :</t>
  </si>
  <si>
    <t xml:space="preserve">          องศา</t>
  </si>
  <si>
    <t xml:space="preserve">  DESIGN  RC.  WATER  TANK </t>
  </si>
  <si>
    <t>ออกแบบผนัง</t>
  </si>
  <si>
    <t>ความกว้างขอบใน</t>
  </si>
  <si>
    <t>ข้อมูลทั่วไปสำหรับออกแบบ</t>
  </si>
  <si>
    <t>ความยาวขอบใน</t>
  </si>
  <si>
    <t>ความลึกขอบใน</t>
  </si>
  <si>
    <t>m.</t>
  </si>
  <si>
    <t>Ø</t>
  </si>
  <si>
    <t>Ka       =  (1-sinØ) / (1+sinØ)</t>
  </si>
  <si>
    <r>
      <t>P1       =   γ</t>
    </r>
    <r>
      <rPr>
        <vertAlign val="subscript"/>
        <sz val="16"/>
        <rFont val="AngsanaUPC"/>
        <family val="1"/>
      </rPr>
      <t>w</t>
    </r>
    <r>
      <rPr>
        <sz val="16"/>
        <rFont val="AngsanaUPC"/>
        <family val="1"/>
      </rPr>
      <t xml:space="preserve"> . H</t>
    </r>
  </si>
  <si>
    <r>
      <t>P2       =   γ</t>
    </r>
    <r>
      <rPr>
        <vertAlign val="subscript"/>
        <sz val="16"/>
        <rFont val="AngsanaUPC"/>
        <family val="1"/>
      </rPr>
      <t>ww</t>
    </r>
    <r>
      <rPr>
        <sz val="16"/>
        <rFont val="AngsanaUPC"/>
        <family val="1"/>
      </rPr>
      <t xml:space="preserve"> . H</t>
    </r>
  </si>
  <si>
    <r>
      <t>P3       =  Ka . γ</t>
    </r>
    <r>
      <rPr>
        <vertAlign val="subscript"/>
        <sz val="16"/>
        <rFont val="AngsanaUPC"/>
        <family val="1"/>
      </rPr>
      <t>d</t>
    </r>
    <r>
      <rPr>
        <sz val="16"/>
        <rFont val="AngsanaUPC"/>
        <family val="1"/>
      </rPr>
      <t xml:space="preserve"> . H</t>
    </r>
  </si>
  <si>
    <t>P4       =  Ka . Surchage</t>
  </si>
  <si>
    <r>
      <t xml:space="preserve">P4       =  Ka . γ </t>
    </r>
    <r>
      <rPr>
        <vertAlign val="superscript"/>
        <sz val="16"/>
        <rFont val="AngsanaUPC"/>
        <family val="1"/>
      </rPr>
      <t>'</t>
    </r>
    <r>
      <rPr>
        <sz val="16"/>
        <rFont val="AngsanaUPC"/>
        <family val="1"/>
      </rPr>
      <t>. H</t>
    </r>
  </si>
  <si>
    <t>W</t>
  </si>
  <si>
    <t>L</t>
  </si>
  <si>
    <t>H</t>
  </si>
  <si>
    <t>กรณีที่ 1</t>
  </si>
  <si>
    <t>ก่อสร้างเสร็จใหม่ๆ ยังไม่ถมดินด้านข้าง ใส่น้ำเพื่อทดสอบ (คิดต่อ 1 เมตร)</t>
  </si>
  <si>
    <r>
      <t>kg/m</t>
    </r>
    <r>
      <rPr>
        <vertAlign val="superscript"/>
        <sz val="16"/>
        <rFont val="AngsanaUPC"/>
        <family val="1"/>
      </rPr>
      <t>2</t>
    </r>
  </si>
  <si>
    <r>
      <t>kg/m</t>
    </r>
    <r>
      <rPr>
        <vertAlign val="superscript"/>
        <sz val="16"/>
        <rFont val="AngsanaUPC"/>
        <family val="1"/>
      </rPr>
      <t>2</t>
    </r>
  </si>
  <si>
    <r>
      <t>kg/m</t>
    </r>
    <r>
      <rPr>
        <vertAlign val="superscript"/>
        <sz val="16"/>
        <rFont val="AngsanaUPC"/>
        <family val="1"/>
      </rPr>
      <t>3</t>
    </r>
  </si>
  <si>
    <t>Degree</t>
  </si>
  <si>
    <t>ถมดินชุ่มน้ำข้างนอกแต่ข้างในไม่มีน้ำอยู่เลย (คิดต่อ 1 เมตร)</t>
  </si>
  <si>
    <t>กรณีที่ 2</t>
  </si>
  <si>
    <t>ความหนาผนัง</t>
  </si>
  <si>
    <t>cm.</t>
  </si>
  <si>
    <t>USE</t>
  </si>
  <si>
    <t>ความหนาประสิทธิผล</t>
  </si>
  <si>
    <t>DB 12 mm.</t>
  </si>
  <si>
    <t>DB 16 mm.</t>
  </si>
  <si>
    <t>DB 20 mm.</t>
  </si>
  <si>
    <t>d</t>
  </si>
  <si>
    <t>(Covering)</t>
  </si>
  <si>
    <r>
      <t xml:space="preserve">Mc </t>
    </r>
    <r>
      <rPr>
        <sz val="18"/>
        <rFont val="AngsanaUPC"/>
        <family val="1"/>
      </rPr>
      <t>=  Rbd</t>
    </r>
    <r>
      <rPr>
        <vertAlign val="superscript"/>
        <sz val="18"/>
        <rFont val="AngsanaUPC"/>
        <family val="1"/>
      </rPr>
      <t>2</t>
    </r>
  </si>
  <si>
    <r>
      <t>kg-m &gt; M</t>
    </r>
    <r>
      <rPr>
        <vertAlign val="subscript"/>
        <sz val="16"/>
        <rFont val="AngsanaUPC"/>
        <family val="1"/>
      </rPr>
      <t>max</t>
    </r>
  </si>
  <si>
    <t>15,100√fc'</t>
  </si>
  <si>
    <t>หาปริมาณเหล็กเสริม</t>
  </si>
  <si>
    <t>เหล็กแนวตั้ง</t>
  </si>
  <si>
    <t>As = M/fs.j.d</t>
  </si>
  <si>
    <r>
      <t>cm</t>
    </r>
    <r>
      <rPr>
        <vertAlign val="superscript"/>
        <sz val="16"/>
        <rFont val="AngsanaUPC"/>
        <family val="1"/>
      </rPr>
      <t>2</t>
    </r>
    <r>
      <rPr>
        <sz val="16"/>
        <rFont val="AngsanaUPC"/>
        <family val="1"/>
      </rPr>
      <t>/m.</t>
    </r>
  </si>
  <si>
    <t>DB</t>
  </si>
  <si>
    <t>mm. มี   As1</t>
  </si>
  <si>
    <r>
      <t>cm</t>
    </r>
    <r>
      <rPr>
        <vertAlign val="superscript"/>
        <sz val="16"/>
        <rFont val="AngsanaUPC"/>
        <family val="1"/>
      </rPr>
      <t>2</t>
    </r>
  </si>
  <si>
    <t>@</t>
  </si>
  <si>
    <t>mm.</t>
  </si>
  <si>
    <r>
      <t xml:space="preserve">ใช้เหล็กทางตั้งของผนัง     </t>
    </r>
    <r>
      <rPr>
        <b/>
        <sz val="16"/>
        <rFont val="AngsanaUPC"/>
        <family val="1"/>
      </rPr>
      <t xml:space="preserve">W1 </t>
    </r>
    <r>
      <rPr>
        <sz val="16"/>
        <rFont val="AngsanaUPC"/>
        <family val="1"/>
      </rPr>
      <t xml:space="preserve">  เป็น</t>
    </r>
  </si>
  <si>
    <t>ระยะฝังพื้นฐาน    lb  =  0.06 Ab. fy/√fc'            =</t>
  </si>
  <si>
    <t>เหล็กแนวนอน</t>
  </si>
  <si>
    <r>
      <t>As</t>
    </r>
    <r>
      <rPr>
        <vertAlign val="subscript"/>
        <sz val="16"/>
        <rFont val="AngsanaUPC"/>
        <family val="1"/>
      </rPr>
      <t xml:space="preserve">min </t>
    </r>
    <r>
      <rPr>
        <sz val="16"/>
        <rFont val="AngsanaUPC"/>
        <family val="1"/>
      </rPr>
      <t>= 0.0015bh             =</t>
    </r>
  </si>
  <si>
    <r>
      <t>USE</t>
    </r>
    <r>
      <rPr>
        <sz val="16"/>
        <rFont val="AngsanaUPC"/>
        <family val="1"/>
      </rPr>
      <t xml:space="preserve">      d</t>
    </r>
  </si>
  <si>
    <r>
      <t>Ast    = f</t>
    </r>
    <r>
      <rPr>
        <vertAlign val="subscript"/>
        <sz val="16"/>
        <rFont val="AngsanaUPC"/>
        <family val="1"/>
      </rPr>
      <t>2</t>
    </r>
    <r>
      <rPr>
        <sz val="16"/>
        <rFont val="AngsanaUPC"/>
        <family val="1"/>
      </rPr>
      <t>/ft</t>
    </r>
  </si>
  <si>
    <t>ออกแบบพื้นบ่อ</t>
  </si>
  <si>
    <t>ความหนา     h &gt; L/20(0.4 + fy/7,000)</t>
  </si>
  <si>
    <t>ส่วนยื่นพื้นบ่อ</t>
  </si>
  <si>
    <t>W'</t>
  </si>
  <si>
    <t>น้ำหนักก่อสร้างเสร็จ ถมดินรอบนอกแล้ว ภายในบรรจุน้ำเต็ม       =</t>
  </si>
  <si>
    <t>ความกว้าง</t>
  </si>
  <si>
    <t>ความยาว</t>
  </si>
  <si>
    <t>พื้นบ่อ</t>
  </si>
  <si>
    <t>รอบนอกยาว</t>
  </si>
  <si>
    <t>ผนังความยาว</t>
  </si>
  <si>
    <t>ton.</t>
  </si>
  <si>
    <t>กราฟสัมประสิทธิ์แรงดัดของผนัง</t>
  </si>
  <si>
    <t>ค่าสัมประสิทธิ์แรงดัด C ที่หาได้จากกราฟ</t>
  </si>
  <si>
    <r>
      <t>Cv</t>
    </r>
    <r>
      <rPr>
        <b/>
        <vertAlign val="superscript"/>
        <sz val="16"/>
        <rFont val="AngsanaUPC"/>
        <family val="1"/>
      </rPr>
      <t>-</t>
    </r>
  </si>
  <si>
    <r>
      <t>C</t>
    </r>
    <r>
      <rPr>
        <b/>
        <sz val="10"/>
        <rFont val="AngsanaUPC"/>
        <family val="1"/>
      </rPr>
      <t>H</t>
    </r>
    <r>
      <rPr>
        <b/>
        <vertAlign val="superscript"/>
        <sz val="16"/>
        <rFont val="AngsanaUPC"/>
        <family val="1"/>
      </rPr>
      <t>-</t>
    </r>
  </si>
  <si>
    <r>
      <t>Cv</t>
    </r>
    <r>
      <rPr>
        <b/>
        <vertAlign val="superscript"/>
        <sz val="16"/>
        <rFont val="AngsanaUPC"/>
        <family val="1"/>
      </rPr>
      <t>+</t>
    </r>
  </si>
  <si>
    <r>
      <t>C</t>
    </r>
    <r>
      <rPr>
        <b/>
        <sz val="10"/>
        <rFont val="AngsanaUPC"/>
        <family val="1"/>
      </rPr>
      <t>H</t>
    </r>
    <r>
      <rPr>
        <b/>
        <vertAlign val="superscript"/>
        <sz val="16"/>
        <rFont val="AngsanaUPC"/>
        <family val="1"/>
      </rPr>
      <t>+</t>
    </r>
  </si>
  <si>
    <t>Max. negative vertical moment at base</t>
  </si>
  <si>
    <t>Max. negative horizontal moment at support</t>
  </si>
  <si>
    <t xml:space="preserve">Max. positive vertical moment </t>
  </si>
  <si>
    <t>Max. positive horizontl moment at top</t>
  </si>
  <si>
    <r>
      <t>Mv</t>
    </r>
    <r>
      <rPr>
        <b/>
        <vertAlign val="superscript"/>
        <sz val="16"/>
        <rFont val="AngsanaUPC"/>
        <family val="1"/>
      </rPr>
      <t>-</t>
    </r>
  </si>
  <si>
    <r>
      <t>M</t>
    </r>
    <r>
      <rPr>
        <b/>
        <sz val="10"/>
        <rFont val="AngsanaUPC"/>
        <family val="1"/>
      </rPr>
      <t>H</t>
    </r>
    <r>
      <rPr>
        <b/>
        <vertAlign val="superscript"/>
        <sz val="16"/>
        <rFont val="AngsanaUPC"/>
        <family val="1"/>
      </rPr>
      <t>-</t>
    </r>
  </si>
  <si>
    <r>
      <t>Mv</t>
    </r>
    <r>
      <rPr>
        <b/>
        <vertAlign val="superscript"/>
        <sz val="16"/>
        <rFont val="AngsanaUPC"/>
        <family val="1"/>
      </rPr>
      <t>+</t>
    </r>
  </si>
  <si>
    <r>
      <t>M</t>
    </r>
    <r>
      <rPr>
        <b/>
        <sz val="10"/>
        <rFont val="AngsanaUPC"/>
        <family val="1"/>
      </rPr>
      <t>H</t>
    </r>
    <r>
      <rPr>
        <b/>
        <vertAlign val="superscript"/>
        <sz val="16"/>
        <rFont val="AngsanaUPC"/>
        <family val="1"/>
      </rPr>
      <t>+</t>
    </r>
  </si>
  <si>
    <r>
      <t xml:space="preserve">      T        =   √M</t>
    </r>
    <r>
      <rPr>
        <vertAlign val="subscript"/>
        <sz val="16"/>
        <rFont val="AngsanaUPC"/>
        <family val="1"/>
      </rPr>
      <t>max</t>
    </r>
    <r>
      <rPr>
        <sz val="16"/>
        <rFont val="AngsanaUPC"/>
        <family val="1"/>
      </rPr>
      <t xml:space="preserve">/R.B  </t>
    </r>
  </si>
  <si>
    <t>Cracking moment    fr      =     M.c/I &gt; 1.99√fc'</t>
  </si>
  <si>
    <t>Ash = M/fs.j.d</t>
  </si>
  <si>
    <t>ภย.41809</t>
  </si>
  <si>
    <t>ton/ pile</t>
  </si>
  <si>
    <t>จำนวนเสาเข็ม</t>
  </si>
  <si>
    <t>pile</t>
  </si>
  <si>
    <t>เสาเข็มห่างกัน</t>
  </si>
  <si>
    <t>ด้านกว้าง</t>
  </si>
  <si>
    <t>ด้านยาว</t>
  </si>
  <si>
    <t>ใช้เสาเข็ม</t>
  </si>
  <si>
    <r>
      <t>M  = WL</t>
    </r>
    <r>
      <rPr>
        <b/>
        <vertAlign val="superscript"/>
        <sz val="16"/>
        <rFont val="AngsanaUPC"/>
        <family val="1"/>
      </rPr>
      <t>2</t>
    </r>
    <r>
      <rPr>
        <b/>
        <sz val="16"/>
        <rFont val="AngsanaUPC"/>
        <family val="1"/>
      </rPr>
      <t>/8</t>
    </r>
  </si>
  <si>
    <t>kg-m.</t>
  </si>
  <si>
    <t>ตรวจสอบเสถียรภาพการลอยตัว</t>
  </si>
  <si>
    <t>สร้างเสร็จถมดิน ไม่ใส่น้ำ ดินข้างนอกชุ่มน้ำเต็มที่</t>
  </si>
  <si>
    <t>ผนังกว้าง</t>
  </si>
  <si>
    <t>ผนังหนา</t>
  </si>
  <si>
    <t>ผนังยาว</t>
  </si>
  <si>
    <t>พื้นหนา</t>
  </si>
  <si>
    <t>ส่วนยื่น</t>
  </si>
  <si>
    <t>ผนังลึก</t>
  </si>
  <si>
    <t>น้ำหนักรวม</t>
  </si>
  <si>
    <t>น้ำหนักผนัง                               =</t>
  </si>
  <si>
    <t>น้ำหนักพื้นบ่อ                           =</t>
  </si>
  <si>
    <t>น้ำหนักดินถม                            =</t>
  </si>
  <si>
    <t>น้ำหนักที่ถูกแทนที่                   =</t>
  </si>
  <si>
    <t>Factor of safety (F.S.) &gt; 1.1   =</t>
  </si>
  <si>
    <t>แก้ไขโดยระหว่างนั้นใส่น้ำเข้าไปในถัง</t>
  </si>
  <si>
    <t>กรณีที่ 3</t>
  </si>
  <si>
    <t>สร้างเสร็จยังไม่ถมดิน ใส่น้ำเต็มถัง</t>
  </si>
  <si>
    <t>น้ำหนักน้ำในถัง                       =</t>
  </si>
  <si>
    <t>สร้างเสร็จยังไม่ถมดิน ยังไม่ใส่น้ำ เกิดน้ำท่วมรอบถัง</t>
  </si>
  <si>
    <t>หาน้ำหนักและแรงของชิ้นส่วน</t>
  </si>
  <si>
    <t>พื้นถัง</t>
  </si>
  <si>
    <t>ผนัง</t>
  </si>
  <si>
    <t>ton./m.</t>
  </si>
  <si>
    <t>ton/side</t>
  </si>
  <si>
    <t>ก่อสร้างเสร็จยังไม่ใส่น้ำ ยังไม่ถมดิน</t>
  </si>
  <si>
    <t>แรงต้านของดิน</t>
  </si>
  <si>
    <t>แรงต้านลัพท์</t>
  </si>
  <si>
    <t>ชี้ขึ้น</t>
  </si>
  <si>
    <t>กลางถัง</t>
  </si>
  <si>
    <t>กลางผนัง</t>
  </si>
  <si>
    <t>M</t>
  </si>
  <si>
    <t>ton.-m.</t>
  </si>
  <si>
    <t>ก่อสร้างเสร็จยังใส่น้ำทดสอบการรั่ว ไม่ถมดิน</t>
  </si>
  <si>
    <t>ขอบนอก</t>
  </si>
  <si>
    <t>ชี้ชึ้น</t>
  </si>
  <si>
    <t xml:space="preserve"> m.  รับน้ำหนักปลอดภัยไม่เกิน          =  </t>
  </si>
  <si>
    <t xml:space="preserve">เสาเข็มเจาะdai   </t>
  </si>
  <si>
    <t>รายการคำนวณ RETENTION TANK</t>
  </si>
  <si>
    <t>RETENTION TANK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</si>
</sst>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"/>
    <numFmt numFmtId="188" formatCode="0.000"/>
    <numFmt numFmtId="189" formatCode="[$-409]d\-mmm\-yyyy;@"/>
    <numFmt numFmtId="190" formatCode="0.0000"/>
    <numFmt numFmtId="191" formatCode="0.0000000"/>
    <numFmt numFmtId="192" formatCode="0.000000"/>
    <numFmt numFmtId="193" formatCode="0.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#\ ?/4"/>
    <numFmt numFmtId="198" formatCode="0.00000000"/>
    <numFmt numFmtId="199" formatCode="_-* #,##0.000_-;\-* #,##0.000_-;_-* &quot;-&quot;???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.0000_-;\-* #,##0.0000_-;_-* &quot;-&quot;??_-;_-@_-"/>
    <numFmt numFmtId="206" formatCode="0.000000000"/>
    <numFmt numFmtId="207" formatCode="0.0000000000"/>
    <numFmt numFmtId="208" formatCode="_-* #,##0.0000_-;\-* #,##0.0000_-;_-* &quot;-&quot;????_-;_-@_-"/>
    <numFmt numFmtId="209" formatCode="_-* #,##0.00000_-;\-* #,##0.00000_-;_-* &quot;-&quot;??_-;_-@_-"/>
  </numFmts>
  <fonts count="27">
    <font>
      <sz val="10"/>
      <name val="Arial"/>
      <family val="0"/>
    </font>
    <font>
      <sz val="8"/>
      <name val="Arial"/>
      <family val="0"/>
    </font>
    <font>
      <sz val="16"/>
      <name val="AngsanaUPC"/>
      <family val="1"/>
    </font>
    <font>
      <sz val="14"/>
      <name val="AngsanaUPC"/>
      <family val="1"/>
    </font>
    <font>
      <sz val="16"/>
      <color indexed="8"/>
      <name val="AngsanaUPC"/>
      <family val="1"/>
    </font>
    <font>
      <sz val="16"/>
      <color indexed="14"/>
      <name val="AngsanaUPC"/>
      <family val="1"/>
    </font>
    <font>
      <b/>
      <sz val="16"/>
      <name val="AngsanaUPC"/>
      <family val="1"/>
    </font>
    <font>
      <i/>
      <sz val="16"/>
      <color indexed="8"/>
      <name val="AngsanaUPC"/>
      <family val="1"/>
    </font>
    <font>
      <sz val="16"/>
      <color indexed="12"/>
      <name val="AngsanaUPC"/>
      <family val="1"/>
    </font>
    <font>
      <sz val="18"/>
      <name val="AngsanaUPC"/>
      <family val="1"/>
    </font>
    <font>
      <b/>
      <sz val="18"/>
      <color indexed="16"/>
      <name val="AngsanaUPC"/>
      <family val="1"/>
    </font>
    <font>
      <b/>
      <sz val="18"/>
      <name val="AngsanaUPC"/>
      <family val="1"/>
    </font>
    <font>
      <b/>
      <i/>
      <sz val="18"/>
      <name val="AngsanaUPC"/>
      <family val="1"/>
    </font>
    <font>
      <sz val="16"/>
      <color indexed="16"/>
      <name val="AngsanaUPC"/>
      <family val="1"/>
    </font>
    <font>
      <sz val="10"/>
      <name val="AngsanaUPC"/>
      <family val="1"/>
    </font>
    <font>
      <sz val="16"/>
      <color indexed="40"/>
      <name val="AngsanaUPC"/>
      <family val="1"/>
    </font>
    <font>
      <sz val="12"/>
      <name val="AngsanaUPC"/>
      <family val="1"/>
    </font>
    <font>
      <b/>
      <i/>
      <sz val="16"/>
      <name val="AngsanaUPC"/>
      <family val="1"/>
    </font>
    <font>
      <b/>
      <sz val="16"/>
      <color indexed="61"/>
      <name val="AngsanaUPC"/>
      <family val="1"/>
    </font>
    <font>
      <sz val="12"/>
      <name val="Times New Roman"/>
      <family val="1"/>
    </font>
    <font>
      <vertAlign val="subscript"/>
      <sz val="16"/>
      <name val="AngsanaUPC"/>
      <family val="1"/>
    </font>
    <font>
      <vertAlign val="superscript"/>
      <sz val="16"/>
      <name val="AngsanaUPC"/>
      <family val="1"/>
    </font>
    <font>
      <sz val="16"/>
      <color indexed="61"/>
      <name val="AngsanaUPC"/>
      <family val="1"/>
    </font>
    <font>
      <vertAlign val="superscript"/>
      <sz val="18"/>
      <name val="AngsanaUPC"/>
      <family val="1"/>
    </font>
    <font>
      <b/>
      <sz val="16"/>
      <color indexed="20"/>
      <name val="AngsanaUPC"/>
      <family val="1"/>
    </font>
    <font>
      <b/>
      <vertAlign val="superscript"/>
      <sz val="16"/>
      <name val="AngsanaUPC"/>
      <family val="1"/>
    </font>
    <font>
      <b/>
      <sz val="10"/>
      <name val="AngsanaUPC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/>
    </xf>
    <xf numFmtId="196" fontId="2" fillId="0" borderId="0" xfId="15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194" fontId="2" fillId="0" borderId="0" xfId="15" applyNumberFormat="1" applyFont="1" applyBorder="1" applyAlignment="1">
      <alignment horizontal="center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3" fillId="0" borderId="0" xfId="0" applyFont="1" applyFill="1" applyBorder="1" applyAlignment="1" applyProtection="1" quotePrefix="1">
      <alignment horizontal="center"/>
      <protection hidden="1"/>
    </xf>
    <xf numFmtId="194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2" fontId="2" fillId="0" borderId="0" xfId="0" applyNumberFormat="1" applyFont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43" fontId="2" fillId="0" borderId="0" xfId="15" applyFont="1" applyAlignment="1">
      <alignment horizontal="center"/>
    </xf>
    <xf numFmtId="196" fontId="2" fillId="0" borderId="0" xfId="15" applyNumberFormat="1" applyFont="1" applyAlignment="1">
      <alignment/>
    </xf>
    <xf numFmtId="0" fontId="2" fillId="0" borderId="0" xfId="0" applyFont="1" applyBorder="1" applyAlignment="1" quotePrefix="1">
      <alignment/>
    </xf>
    <xf numFmtId="43" fontId="2" fillId="0" borderId="0" xfId="15" applyFont="1" applyBorder="1" applyAlignment="1">
      <alignment horizontal="center"/>
    </xf>
    <xf numFmtId="0" fontId="1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3" fontId="2" fillId="0" borderId="0" xfId="15" applyFont="1" applyAlignment="1">
      <alignment horizontal="right"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94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43" fontId="22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43" fontId="2" fillId="0" borderId="0" xfId="15" applyFont="1" applyAlignment="1">
      <alignment/>
    </xf>
    <xf numFmtId="43" fontId="5" fillId="0" borderId="0" xfId="15" applyFont="1" applyAlignment="1">
      <alignment/>
    </xf>
    <xf numFmtId="0" fontId="6" fillId="0" borderId="0" xfId="0" applyFont="1" applyAlignment="1">
      <alignment horizontal="left"/>
    </xf>
    <xf numFmtId="0" fontId="24" fillId="0" borderId="0" xfId="0" applyFont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15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96" fontId="8" fillId="0" borderId="0" xfId="15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/>
      <protection locked="0"/>
    </xf>
    <xf numFmtId="194" fontId="8" fillId="0" borderId="0" xfId="15" applyNumberFormat="1" applyFont="1" applyAlignment="1" applyProtection="1">
      <alignment/>
      <protection locked="0"/>
    </xf>
    <xf numFmtId="43" fontId="8" fillId="0" borderId="0" xfId="15" applyFont="1" applyAlignment="1" applyProtection="1">
      <alignment/>
      <protection locked="0"/>
    </xf>
    <xf numFmtId="43" fontId="2" fillId="0" borderId="0" xfId="15" applyFont="1" applyAlignment="1" applyProtection="1">
      <alignment/>
      <protection locked="0"/>
    </xf>
    <xf numFmtId="43" fontId="5" fillId="0" borderId="0" xfId="15" applyNumberFormat="1" applyFont="1" applyAlignment="1">
      <alignment/>
    </xf>
    <xf numFmtId="43" fontId="8" fillId="0" borderId="0" xfId="15" applyNumberFormat="1" applyFont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8" fillId="0" borderId="0" xfId="15" applyFont="1" applyBorder="1" applyAlignment="1" applyProtection="1">
      <alignment/>
      <protection locked="0"/>
    </xf>
    <xf numFmtId="43" fontId="2" fillId="0" borderId="0" xfId="15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3" fontId="8" fillId="0" borderId="0" xfId="15" applyFont="1" applyBorder="1" applyAlignment="1">
      <alignment horizontal="right"/>
    </xf>
    <xf numFmtId="43" fontId="2" fillId="0" borderId="0" xfId="15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center"/>
      <protection locked="0"/>
    </xf>
    <xf numFmtId="43" fontId="2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43" fontId="6" fillId="0" borderId="0" xfId="15" applyFont="1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194" fontId="2" fillId="0" borderId="0" xfId="15" applyNumberFormat="1" applyFont="1" applyBorder="1" applyAlignment="1">
      <alignment/>
    </xf>
    <xf numFmtId="43" fontId="22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94" fontId="8" fillId="0" borderId="0" xfId="15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194" fontId="5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15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2" fontId="2" fillId="0" borderId="0" xfId="0" applyNumberFormat="1" applyFont="1" applyBorder="1" applyAlignment="1">
      <alignment horizontal="center"/>
    </xf>
    <xf numFmtId="196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14</xdr:row>
      <xdr:rowOff>57150</xdr:rowOff>
    </xdr:from>
    <xdr:to>
      <xdr:col>8</xdr:col>
      <xdr:colOff>542925</xdr:colOff>
      <xdr:row>14</xdr:row>
      <xdr:rowOff>57150</xdr:rowOff>
    </xdr:to>
    <xdr:sp>
      <xdr:nvSpPr>
        <xdr:cNvPr id="1" name="Line 11"/>
        <xdr:cNvSpPr>
          <a:spLocks/>
        </xdr:cNvSpPr>
      </xdr:nvSpPr>
      <xdr:spPr>
        <a:xfrm>
          <a:off x="5305425" y="4457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17</xdr:row>
      <xdr:rowOff>57150</xdr:rowOff>
    </xdr:from>
    <xdr:to>
      <xdr:col>8</xdr:col>
      <xdr:colOff>552450</xdr:colOff>
      <xdr:row>17</xdr:row>
      <xdr:rowOff>57150</xdr:rowOff>
    </xdr:to>
    <xdr:sp>
      <xdr:nvSpPr>
        <xdr:cNvPr id="2" name="Line 12"/>
        <xdr:cNvSpPr>
          <a:spLocks/>
        </xdr:cNvSpPr>
      </xdr:nvSpPr>
      <xdr:spPr>
        <a:xfrm>
          <a:off x="5314950" y="5400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15</xdr:row>
      <xdr:rowOff>57150</xdr:rowOff>
    </xdr:from>
    <xdr:to>
      <xdr:col>8</xdr:col>
      <xdr:colOff>552450</xdr:colOff>
      <xdr:row>15</xdr:row>
      <xdr:rowOff>57150</xdr:rowOff>
    </xdr:to>
    <xdr:sp>
      <xdr:nvSpPr>
        <xdr:cNvPr id="3" name="Line 13"/>
        <xdr:cNvSpPr>
          <a:spLocks/>
        </xdr:cNvSpPr>
      </xdr:nvSpPr>
      <xdr:spPr>
        <a:xfrm>
          <a:off x="5314950" y="4772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57150</xdr:rowOff>
    </xdr:from>
    <xdr:to>
      <xdr:col>8</xdr:col>
      <xdr:colOff>552450</xdr:colOff>
      <xdr:row>16</xdr:row>
      <xdr:rowOff>57150</xdr:rowOff>
    </xdr:to>
    <xdr:sp>
      <xdr:nvSpPr>
        <xdr:cNvPr id="4" name="Line 14"/>
        <xdr:cNvSpPr>
          <a:spLocks/>
        </xdr:cNvSpPr>
      </xdr:nvSpPr>
      <xdr:spPr>
        <a:xfrm>
          <a:off x="5314950" y="5086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18</xdr:row>
      <xdr:rowOff>57150</xdr:rowOff>
    </xdr:from>
    <xdr:to>
      <xdr:col>8</xdr:col>
      <xdr:colOff>685800</xdr:colOff>
      <xdr:row>18</xdr:row>
      <xdr:rowOff>57150</xdr:rowOff>
    </xdr:to>
    <xdr:sp>
      <xdr:nvSpPr>
        <xdr:cNvPr id="5" name="Line 15"/>
        <xdr:cNvSpPr>
          <a:spLocks/>
        </xdr:cNvSpPr>
      </xdr:nvSpPr>
      <xdr:spPr>
        <a:xfrm>
          <a:off x="5448300" y="5715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25</xdr:row>
      <xdr:rowOff>0</xdr:rowOff>
    </xdr:from>
    <xdr:to>
      <xdr:col>3</xdr:col>
      <xdr:colOff>609600</xdr:colOff>
      <xdr:row>25</xdr:row>
      <xdr:rowOff>0</xdr:rowOff>
    </xdr:to>
    <xdr:sp>
      <xdr:nvSpPr>
        <xdr:cNvPr id="6" name="Line 16"/>
        <xdr:cNvSpPr>
          <a:spLocks/>
        </xdr:cNvSpPr>
      </xdr:nvSpPr>
      <xdr:spPr>
        <a:xfrm>
          <a:off x="1685925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118</xdr:row>
      <xdr:rowOff>38100</xdr:rowOff>
    </xdr:from>
    <xdr:to>
      <xdr:col>6</xdr:col>
      <xdr:colOff>114300</xdr:colOff>
      <xdr:row>118</xdr:row>
      <xdr:rowOff>38100</xdr:rowOff>
    </xdr:to>
    <xdr:sp>
      <xdr:nvSpPr>
        <xdr:cNvPr id="7" name="Line 17"/>
        <xdr:cNvSpPr>
          <a:spLocks/>
        </xdr:cNvSpPr>
      </xdr:nvSpPr>
      <xdr:spPr>
        <a:xfrm>
          <a:off x="2695575" y="34909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138</xdr:row>
      <xdr:rowOff>57150</xdr:rowOff>
    </xdr:from>
    <xdr:to>
      <xdr:col>7</xdr:col>
      <xdr:colOff>85725</xdr:colOff>
      <xdr:row>138</xdr:row>
      <xdr:rowOff>57150</xdr:rowOff>
    </xdr:to>
    <xdr:sp>
      <xdr:nvSpPr>
        <xdr:cNvPr id="8" name="Line 18"/>
        <xdr:cNvSpPr>
          <a:spLocks/>
        </xdr:cNvSpPr>
      </xdr:nvSpPr>
      <xdr:spPr>
        <a:xfrm>
          <a:off x="3981450" y="41214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71</xdr:row>
      <xdr:rowOff>104775</xdr:rowOff>
    </xdr:from>
    <xdr:to>
      <xdr:col>11</xdr:col>
      <xdr:colOff>0</xdr:colOff>
      <xdr:row>100</xdr:row>
      <xdr:rowOff>104775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rcRect l="15490" t="45948" r="50378" b="18432"/>
        <a:stretch>
          <a:fillRect/>
        </a:stretch>
      </xdr:blipFill>
      <xdr:spPr>
        <a:xfrm>
          <a:off x="209550" y="20878800"/>
          <a:ext cx="6591300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28575</xdr:rowOff>
    </xdr:from>
    <xdr:to>
      <xdr:col>9</xdr:col>
      <xdr:colOff>314325</xdr:colOff>
      <xdr:row>98</xdr:row>
      <xdr:rowOff>57150</xdr:rowOff>
    </xdr:to>
    <xdr:sp>
      <xdr:nvSpPr>
        <xdr:cNvPr id="10" name="Line 20"/>
        <xdr:cNvSpPr>
          <a:spLocks/>
        </xdr:cNvSpPr>
      </xdr:nvSpPr>
      <xdr:spPr>
        <a:xfrm flipH="1" flipV="1">
          <a:off x="6048375" y="20802600"/>
          <a:ext cx="0" cy="7934325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94</xdr:row>
      <xdr:rowOff>114300</xdr:rowOff>
    </xdr:from>
    <xdr:to>
      <xdr:col>10</xdr:col>
      <xdr:colOff>0</xdr:colOff>
      <xdr:row>94</xdr:row>
      <xdr:rowOff>114300</xdr:rowOff>
    </xdr:to>
    <xdr:sp>
      <xdr:nvSpPr>
        <xdr:cNvPr id="11" name="Line 21"/>
        <xdr:cNvSpPr>
          <a:spLocks/>
        </xdr:cNvSpPr>
      </xdr:nvSpPr>
      <xdr:spPr>
        <a:xfrm flipH="1" flipV="1">
          <a:off x="866775" y="27612975"/>
          <a:ext cx="51816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91</xdr:row>
      <xdr:rowOff>161925</xdr:rowOff>
    </xdr:from>
    <xdr:to>
      <xdr:col>10</xdr:col>
      <xdr:colOff>0</xdr:colOff>
      <xdr:row>91</xdr:row>
      <xdr:rowOff>161925</xdr:rowOff>
    </xdr:to>
    <xdr:sp>
      <xdr:nvSpPr>
        <xdr:cNvPr id="12" name="Line 22"/>
        <xdr:cNvSpPr>
          <a:spLocks/>
        </xdr:cNvSpPr>
      </xdr:nvSpPr>
      <xdr:spPr>
        <a:xfrm flipH="1" flipV="1">
          <a:off x="866775" y="26774775"/>
          <a:ext cx="51816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73</xdr:row>
      <xdr:rowOff>66675</xdr:rowOff>
    </xdr:from>
    <xdr:to>
      <xdr:col>10</xdr:col>
      <xdr:colOff>0</xdr:colOff>
      <xdr:row>73</xdr:row>
      <xdr:rowOff>66675</xdr:rowOff>
    </xdr:to>
    <xdr:sp>
      <xdr:nvSpPr>
        <xdr:cNvPr id="13" name="Line 23"/>
        <xdr:cNvSpPr>
          <a:spLocks/>
        </xdr:cNvSpPr>
      </xdr:nvSpPr>
      <xdr:spPr>
        <a:xfrm flipH="1" flipV="1">
          <a:off x="866775" y="21364575"/>
          <a:ext cx="51816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90</xdr:row>
      <xdr:rowOff>247650</xdr:rowOff>
    </xdr:from>
    <xdr:to>
      <xdr:col>10</xdr:col>
      <xdr:colOff>0</xdr:colOff>
      <xdr:row>90</xdr:row>
      <xdr:rowOff>247650</xdr:rowOff>
    </xdr:to>
    <xdr:sp>
      <xdr:nvSpPr>
        <xdr:cNvPr id="14" name="Line 24"/>
        <xdr:cNvSpPr>
          <a:spLocks/>
        </xdr:cNvSpPr>
      </xdr:nvSpPr>
      <xdr:spPr>
        <a:xfrm flipH="1" flipV="1">
          <a:off x="866775" y="26565225"/>
          <a:ext cx="51816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93</xdr:row>
      <xdr:rowOff>209550</xdr:rowOff>
    </xdr:from>
    <xdr:to>
      <xdr:col>10</xdr:col>
      <xdr:colOff>0</xdr:colOff>
      <xdr:row>93</xdr:row>
      <xdr:rowOff>209550</xdr:rowOff>
    </xdr:to>
    <xdr:sp>
      <xdr:nvSpPr>
        <xdr:cNvPr id="15" name="Line 25"/>
        <xdr:cNvSpPr>
          <a:spLocks/>
        </xdr:cNvSpPr>
      </xdr:nvSpPr>
      <xdr:spPr>
        <a:xfrm flipH="1" flipV="1">
          <a:off x="866775" y="27412950"/>
          <a:ext cx="51816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119</xdr:row>
      <xdr:rowOff>57150</xdr:rowOff>
    </xdr:from>
    <xdr:to>
      <xdr:col>6</xdr:col>
      <xdr:colOff>400050</xdr:colOff>
      <xdr:row>119</xdr:row>
      <xdr:rowOff>57150</xdr:rowOff>
    </xdr:to>
    <xdr:sp>
      <xdr:nvSpPr>
        <xdr:cNvPr id="16" name="Line 26"/>
        <xdr:cNvSpPr>
          <a:spLocks/>
        </xdr:cNvSpPr>
      </xdr:nvSpPr>
      <xdr:spPr>
        <a:xfrm>
          <a:off x="3400425" y="35242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10</xdr:col>
      <xdr:colOff>561975</xdr:colOff>
      <xdr:row>3</xdr:row>
      <xdr:rowOff>304800</xdr:rowOff>
    </xdr:to>
    <xdr:sp>
      <xdr:nvSpPr>
        <xdr:cNvPr id="17" name="Rectangle 27"/>
        <xdr:cNvSpPr>
          <a:spLocks/>
        </xdr:cNvSpPr>
      </xdr:nvSpPr>
      <xdr:spPr>
        <a:xfrm>
          <a:off x="1066800" y="952500"/>
          <a:ext cx="5543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11</xdr:col>
      <xdr:colOff>742950</xdr:colOff>
      <xdr:row>2</xdr:row>
      <xdr:rowOff>304800</xdr:rowOff>
    </xdr:to>
    <xdr:sp>
      <xdr:nvSpPr>
        <xdr:cNvPr id="18" name="Rectangle 28"/>
        <xdr:cNvSpPr>
          <a:spLocks/>
        </xdr:cNvSpPr>
      </xdr:nvSpPr>
      <xdr:spPr>
        <a:xfrm>
          <a:off x="104775" y="0"/>
          <a:ext cx="743902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0</xdr:colOff>
      <xdr:row>5</xdr:row>
      <xdr:rowOff>295275</xdr:rowOff>
    </xdr:to>
    <xdr:sp>
      <xdr:nvSpPr>
        <xdr:cNvPr id="19" name="Rectangle 29"/>
        <xdr:cNvSpPr>
          <a:spLocks/>
        </xdr:cNvSpPr>
      </xdr:nvSpPr>
      <xdr:spPr>
        <a:xfrm>
          <a:off x="104775" y="1571625"/>
          <a:ext cx="9620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3</xdr:col>
      <xdr:colOff>0</xdr:colOff>
      <xdr:row>11</xdr:row>
      <xdr:rowOff>295275</xdr:rowOff>
    </xdr:to>
    <xdr:sp>
      <xdr:nvSpPr>
        <xdr:cNvPr id="20" name="Rectangle 30"/>
        <xdr:cNvSpPr>
          <a:spLocks/>
        </xdr:cNvSpPr>
      </xdr:nvSpPr>
      <xdr:spPr>
        <a:xfrm>
          <a:off x="104775" y="3457575"/>
          <a:ext cx="9620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0</xdr:colOff>
      <xdr:row>19</xdr:row>
      <xdr:rowOff>295275</xdr:rowOff>
    </xdr:to>
    <xdr:sp>
      <xdr:nvSpPr>
        <xdr:cNvPr id="21" name="Rectangle 31"/>
        <xdr:cNvSpPr>
          <a:spLocks/>
        </xdr:cNvSpPr>
      </xdr:nvSpPr>
      <xdr:spPr>
        <a:xfrm>
          <a:off x="104775" y="5972175"/>
          <a:ext cx="9620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63</xdr:row>
      <xdr:rowOff>0</xdr:rowOff>
    </xdr:from>
    <xdr:to>
      <xdr:col>3</xdr:col>
      <xdr:colOff>238125</xdr:colOff>
      <xdr:row>63</xdr:row>
      <xdr:rowOff>295275</xdr:rowOff>
    </xdr:to>
    <xdr:sp>
      <xdr:nvSpPr>
        <xdr:cNvPr id="22" name="Rectangle 32"/>
        <xdr:cNvSpPr>
          <a:spLocks/>
        </xdr:cNvSpPr>
      </xdr:nvSpPr>
      <xdr:spPr>
        <a:xfrm>
          <a:off x="342900" y="18278475"/>
          <a:ext cx="9620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139</xdr:row>
      <xdr:rowOff>0</xdr:rowOff>
    </xdr:from>
    <xdr:to>
      <xdr:col>3</xdr:col>
      <xdr:colOff>238125</xdr:colOff>
      <xdr:row>139</xdr:row>
      <xdr:rowOff>295275</xdr:rowOff>
    </xdr:to>
    <xdr:sp>
      <xdr:nvSpPr>
        <xdr:cNvPr id="23" name="Rectangle 33"/>
        <xdr:cNvSpPr>
          <a:spLocks/>
        </xdr:cNvSpPr>
      </xdr:nvSpPr>
      <xdr:spPr>
        <a:xfrm>
          <a:off x="342900" y="41471850"/>
          <a:ext cx="9620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162</xdr:row>
      <xdr:rowOff>0</xdr:rowOff>
    </xdr:from>
    <xdr:to>
      <xdr:col>4</xdr:col>
      <xdr:colOff>333375</xdr:colOff>
      <xdr:row>162</xdr:row>
      <xdr:rowOff>295275</xdr:rowOff>
    </xdr:to>
    <xdr:sp>
      <xdr:nvSpPr>
        <xdr:cNvPr id="24" name="Rectangle 34"/>
        <xdr:cNvSpPr>
          <a:spLocks/>
        </xdr:cNvSpPr>
      </xdr:nvSpPr>
      <xdr:spPr>
        <a:xfrm>
          <a:off x="342900" y="48701325"/>
          <a:ext cx="19240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9525</xdr:rowOff>
    </xdr:from>
    <xdr:to>
      <xdr:col>11</xdr:col>
      <xdr:colOff>742950</xdr:colOff>
      <xdr:row>107</xdr:row>
      <xdr:rowOff>276225</xdr:rowOff>
    </xdr:to>
    <xdr:sp>
      <xdr:nvSpPr>
        <xdr:cNvPr id="25" name="Rectangle 36"/>
        <xdr:cNvSpPr>
          <a:spLocks/>
        </xdr:cNvSpPr>
      </xdr:nvSpPr>
      <xdr:spPr>
        <a:xfrm>
          <a:off x="104775" y="20488275"/>
          <a:ext cx="7439025" cy="11201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304800</xdr:rowOff>
    </xdr:from>
    <xdr:to>
      <xdr:col>8</xdr:col>
      <xdr:colOff>209550</xdr:colOff>
      <xdr:row>57</xdr:row>
      <xdr:rowOff>285750</xdr:rowOff>
    </xdr:to>
    <xdr:sp>
      <xdr:nvSpPr>
        <xdr:cNvPr id="26" name="Rectangle 37"/>
        <xdr:cNvSpPr>
          <a:spLocks/>
        </xdr:cNvSpPr>
      </xdr:nvSpPr>
      <xdr:spPr>
        <a:xfrm>
          <a:off x="2552700" y="16383000"/>
          <a:ext cx="26003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3</xdr:col>
      <xdr:colOff>819150</xdr:colOff>
      <xdr:row>58</xdr:row>
      <xdr:rowOff>295275</xdr:rowOff>
    </xdr:to>
    <xdr:sp>
      <xdr:nvSpPr>
        <xdr:cNvPr id="27" name="Rectangle 38"/>
        <xdr:cNvSpPr>
          <a:spLocks/>
        </xdr:cNvSpPr>
      </xdr:nvSpPr>
      <xdr:spPr>
        <a:xfrm>
          <a:off x="342900" y="16706850"/>
          <a:ext cx="15430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11</xdr:col>
      <xdr:colOff>723900</xdr:colOff>
      <xdr:row>0</xdr:row>
      <xdr:rowOff>304800</xdr:rowOff>
    </xdr:to>
    <xdr:sp>
      <xdr:nvSpPr>
        <xdr:cNvPr id="28" name="Rectangle 39"/>
        <xdr:cNvSpPr>
          <a:spLocks/>
        </xdr:cNvSpPr>
      </xdr:nvSpPr>
      <xdr:spPr>
        <a:xfrm>
          <a:off x="95250" y="9525"/>
          <a:ext cx="7429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11</xdr:col>
      <xdr:colOff>723900</xdr:colOff>
      <xdr:row>33</xdr:row>
      <xdr:rowOff>47625</xdr:rowOff>
    </xdr:to>
    <xdr:sp>
      <xdr:nvSpPr>
        <xdr:cNvPr id="29" name="Rectangle 40"/>
        <xdr:cNvSpPr>
          <a:spLocks/>
        </xdr:cNvSpPr>
      </xdr:nvSpPr>
      <xdr:spPr>
        <a:xfrm>
          <a:off x="95250" y="952500"/>
          <a:ext cx="7429500" cy="924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11</xdr:col>
      <xdr:colOff>723900</xdr:colOff>
      <xdr:row>69</xdr:row>
      <xdr:rowOff>276225</xdr:rowOff>
    </xdr:to>
    <xdr:sp>
      <xdr:nvSpPr>
        <xdr:cNvPr id="30" name="Rectangle 41"/>
        <xdr:cNvSpPr>
          <a:spLocks/>
        </xdr:cNvSpPr>
      </xdr:nvSpPr>
      <xdr:spPr>
        <a:xfrm>
          <a:off x="95250" y="10267950"/>
          <a:ext cx="7429500" cy="1017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9525</xdr:rowOff>
    </xdr:from>
    <xdr:to>
      <xdr:col>11</xdr:col>
      <xdr:colOff>723900</xdr:colOff>
      <xdr:row>138</xdr:row>
      <xdr:rowOff>285750</xdr:rowOff>
    </xdr:to>
    <xdr:sp>
      <xdr:nvSpPr>
        <xdr:cNvPr id="31" name="Rectangle 42"/>
        <xdr:cNvSpPr>
          <a:spLocks/>
        </xdr:cNvSpPr>
      </xdr:nvSpPr>
      <xdr:spPr>
        <a:xfrm>
          <a:off x="95250" y="31737300"/>
          <a:ext cx="7429500" cy="9705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9525</xdr:rowOff>
    </xdr:from>
    <xdr:to>
      <xdr:col>11</xdr:col>
      <xdr:colOff>723900</xdr:colOff>
      <xdr:row>161</xdr:row>
      <xdr:rowOff>285750</xdr:rowOff>
    </xdr:to>
    <xdr:sp>
      <xdr:nvSpPr>
        <xdr:cNvPr id="32" name="Rectangle 43"/>
        <xdr:cNvSpPr>
          <a:spLocks/>
        </xdr:cNvSpPr>
      </xdr:nvSpPr>
      <xdr:spPr>
        <a:xfrm>
          <a:off x="95250" y="41481375"/>
          <a:ext cx="7429500" cy="7191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162</xdr:row>
      <xdr:rowOff>9525</xdr:rowOff>
    </xdr:from>
    <xdr:to>
      <xdr:col>11</xdr:col>
      <xdr:colOff>723900</xdr:colOff>
      <xdr:row>183</xdr:row>
      <xdr:rowOff>295275</xdr:rowOff>
    </xdr:to>
    <xdr:sp>
      <xdr:nvSpPr>
        <xdr:cNvPr id="33" name="Rectangle 44"/>
        <xdr:cNvSpPr>
          <a:spLocks/>
        </xdr:cNvSpPr>
      </xdr:nvSpPr>
      <xdr:spPr>
        <a:xfrm>
          <a:off x="95250" y="48710850"/>
          <a:ext cx="7429500" cy="688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14</xdr:row>
      <xdr:rowOff>57150</xdr:rowOff>
    </xdr:from>
    <xdr:to>
      <xdr:col>7</xdr:col>
      <xdr:colOff>542925</xdr:colOff>
      <xdr:row>14</xdr:row>
      <xdr:rowOff>57150</xdr:rowOff>
    </xdr:to>
    <xdr:sp>
      <xdr:nvSpPr>
        <xdr:cNvPr id="1" name="Line 16"/>
        <xdr:cNvSpPr>
          <a:spLocks/>
        </xdr:cNvSpPr>
      </xdr:nvSpPr>
      <xdr:spPr>
        <a:xfrm>
          <a:off x="5210175" y="4457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17</xdr:row>
      <xdr:rowOff>57150</xdr:rowOff>
    </xdr:from>
    <xdr:to>
      <xdr:col>7</xdr:col>
      <xdr:colOff>552450</xdr:colOff>
      <xdr:row>17</xdr:row>
      <xdr:rowOff>57150</xdr:rowOff>
    </xdr:to>
    <xdr:sp>
      <xdr:nvSpPr>
        <xdr:cNvPr id="2" name="Line 17"/>
        <xdr:cNvSpPr>
          <a:spLocks/>
        </xdr:cNvSpPr>
      </xdr:nvSpPr>
      <xdr:spPr>
        <a:xfrm>
          <a:off x="5219700" y="5400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57150</xdr:rowOff>
    </xdr:from>
    <xdr:to>
      <xdr:col>7</xdr:col>
      <xdr:colOff>552450</xdr:colOff>
      <xdr:row>15</xdr:row>
      <xdr:rowOff>57150</xdr:rowOff>
    </xdr:to>
    <xdr:sp>
      <xdr:nvSpPr>
        <xdr:cNvPr id="3" name="Line 18"/>
        <xdr:cNvSpPr>
          <a:spLocks/>
        </xdr:cNvSpPr>
      </xdr:nvSpPr>
      <xdr:spPr>
        <a:xfrm>
          <a:off x="5219700" y="4772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16</xdr:row>
      <xdr:rowOff>57150</xdr:rowOff>
    </xdr:from>
    <xdr:to>
      <xdr:col>7</xdr:col>
      <xdr:colOff>552450</xdr:colOff>
      <xdr:row>16</xdr:row>
      <xdr:rowOff>57150</xdr:rowOff>
    </xdr:to>
    <xdr:sp>
      <xdr:nvSpPr>
        <xdr:cNvPr id="4" name="Line 19"/>
        <xdr:cNvSpPr>
          <a:spLocks/>
        </xdr:cNvSpPr>
      </xdr:nvSpPr>
      <xdr:spPr>
        <a:xfrm>
          <a:off x="5219700" y="5086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18</xdr:row>
      <xdr:rowOff>57150</xdr:rowOff>
    </xdr:from>
    <xdr:to>
      <xdr:col>7</xdr:col>
      <xdr:colOff>685800</xdr:colOff>
      <xdr:row>18</xdr:row>
      <xdr:rowOff>57150</xdr:rowOff>
    </xdr:to>
    <xdr:sp>
      <xdr:nvSpPr>
        <xdr:cNvPr id="5" name="Line 20"/>
        <xdr:cNvSpPr>
          <a:spLocks/>
        </xdr:cNvSpPr>
      </xdr:nvSpPr>
      <xdr:spPr>
        <a:xfrm>
          <a:off x="5353050" y="5715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6" name="Line 21"/>
        <xdr:cNvSpPr>
          <a:spLocks/>
        </xdr:cNvSpPr>
      </xdr:nvSpPr>
      <xdr:spPr>
        <a:xfrm>
          <a:off x="1590675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118</xdr:row>
      <xdr:rowOff>38100</xdr:rowOff>
    </xdr:from>
    <xdr:to>
      <xdr:col>5</xdr:col>
      <xdr:colOff>114300</xdr:colOff>
      <xdr:row>118</xdr:row>
      <xdr:rowOff>38100</xdr:rowOff>
    </xdr:to>
    <xdr:sp>
      <xdr:nvSpPr>
        <xdr:cNvPr id="7" name="Line 22"/>
        <xdr:cNvSpPr>
          <a:spLocks/>
        </xdr:cNvSpPr>
      </xdr:nvSpPr>
      <xdr:spPr>
        <a:xfrm>
          <a:off x="2600325" y="35128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138</xdr:row>
      <xdr:rowOff>57150</xdr:rowOff>
    </xdr:from>
    <xdr:to>
      <xdr:col>6</xdr:col>
      <xdr:colOff>85725</xdr:colOff>
      <xdr:row>138</xdr:row>
      <xdr:rowOff>57150</xdr:rowOff>
    </xdr:to>
    <xdr:sp>
      <xdr:nvSpPr>
        <xdr:cNvPr id="8" name="Line 23"/>
        <xdr:cNvSpPr>
          <a:spLocks/>
        </xdr:cNvSpPr>
      </xdr:nvSpPr>
      <xdr:spPr>
        <a:xfrm>
          <a:off x="3886200" y="41433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71</xdr:row>
      <xdr:rowOff>104775</xdr:rowOff>
    </xdr:from>
    <xdr:to>
      <xdr:col>10</xdr:col>
      <xdr:colOff>0</xdr:colOff>
      <xdr:row>100</xdr:row>
      <xdr:rowOff>104775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rcRect l="15490" t="45948" r="50378" b="18432"/>
        <a:stretch>
          <a:fillRect/>
        </a:stretch>
      </xdr:blipFill>
      <xdr:spPr>
        <a:xfrm>
          <a:off x="114300" y="21097875"/>
          <a:ext cx="6591300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71</xdr:row>
      <xdr:rowOff>28575</xdr:rowOff>
    </xdr:from>
    <xdr:to>
      <xdr:col>8</xdr:col>
      <xdr:colOff>314325</xdr:colOff>
      <xdr:row>98</xdr:row>
      <xdr:rowOff>57150</xdr:rowOff>
    </xdr:to>
    <xdr:sp>
      <xdr:nvSpPr>
        <xdr:cNvPr id="10" name="Line 25"/>
        <xdr:cNvSpPr>
          <a:spLocks/>
        </xdr:cNvSpPr>
      </xdr:nvSpPr>
      <xdr:spPr>
        <a:xfrm flipH="1" flipV="1">
          <a:off x="5953125" y="21021675"/>
          <a:ext cx="0" cy="7934325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94</xdr:row>
      <xdr:rowOff>114300</xdr:rowOff>
    </xdr:from>
    <xdr:to>
      <xdr:col>9</xdr:col>
      <xdr:colOff>0</xdr:colOff>
      <xdr:row>94</xdr:row>
      <xdr:rowOff>114300</xdr:rowOff>
    </xdr:to>
    <xdr:sp>
      <xdr:nvSpPr>
        <xdr:cNvPr id="11" name="Line 26"/>
        <xdr:cNvSpPr>
          <a:spLocks/>
        </xdr:cNvSpPr>
      </xdr:nvSpPr>
      <xdr:spPr>
        <a:xfrm flipH="1" flipV="1">
          <a:off x="771525" y="27832050"/>
          <a:ext cx="51816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91</xdr:row>
      <xdr:rowOff>161925</xdr:rowOff>
    </xdr:from>
    <xdr:to>
      <xdr:col>9</xdr:col>
      <xdr:colOff>0</xdr:colOff>
      <xdr:row>91</xdr:row>
      <xdr:rowOff>161925</xdr:rowOff>
    </xdr:to>
    <xdr:sp>
      <xdr:nvSpPr>
        <xdr:cNvPr id="12" name="Line 27"/>
        <xdr:cNvSpPr>
          <a:spLocks/>
        </xdr:cNvSpPr>
      </xdr:nvSpPr>
      <xdr:spPr>
        <a:xfrm flipH="1" flipV="1">
          <a:off x="771525" y="26993850"/>
          <a:ext cx="51816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73</xdr:row>
      <xdr:rowOff>66675</xdr:rowOff>
    </xdr:from>
    <xdr:to>
      <xdr:col>9</xdr:col>
      <xdr:colOff>0</xdr:colOff>
      <xdr:row>73</xdr:row>
      <xdr:rowOff>66675</xdr:rowOff>
    </xdr:to>
    <xdr:sp>
      <xdr:nvSpPr>
        <xdr:cNvPr id="13" name="Line 28"/>
        <xdr:cNvSpPr>
          <a:spLocks/>
        </xdr:cNvSpPr>
      </xdr:nvSpPr>
      <xdr:spPr>
        <a:xfrm flipH="1" flipV="1">
          <a:off x="771525" y="21583650"/>
          <a:ext cx="51816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90</xdr:row>
      <xdr:rowOff>247650</xdr:rowOff>
    </xdr:from>
    <xdr:to>
      <xdr:col>9</xdr:col>
      <xdr:colOff>0</xdr:colOff>
      <xdr:row>90</xdr:row>
      <xdr:rowOff>247650</xdr:rowOff>
    </xdr:to>
    <xdr:sp>
      <xdr:nvSpPr>
        <xdr:cNvPr id="14" name="Line 29"/>
        <xdr:cNvSpPr>
          <a:spLocks/>
        </xdr:cNvSpPr>
      </xdr:nvSpPr>
      <xdr:spPr>
        <a:xfrm flipH="1" flipV="1">
          <a:off x="771525" y="26784300"/>
          <a:ext cx="51816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93</xdr:row>
      <xdr:rowOff>209550</xdr:rowOff>
    </xdr:from>
    <xdr:to>
      <xdr:col>9</xdr:col>
      <xdr:colOff>0</xdr:colOff>
      <xdr:row>93</xdr:row>
      <xdr:rowOff>209550</xdr:rowOff>
    </xdr:to>
    <xdr:sp>
      <xdr:nvSpPr>
        <xdr:cNvPr id="15" name="Line 30"/>
        <xdr:cNvSpPr>
          <a:spLocks/>
        </xdr:cNvSpPr>
      </xdr:nvSpPr>
      <xdr:spPr>
        <a:xfrm flipH="1" flipV="1">
          <a:off x="771525" y="27632025"/>
          <a:ext cx="51816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119</xdr:row>
      <xdr:rowOff>57150</xdr:rowOff>
    </xdr:from>
    <xdr:to>
      <xdr:col>5</xdr:col>
      <xdr:colOff>400050</xdr:colOff>
      <xdr:row>119</xdr:row>
      <xdr:rowOff>57150</xdr:rowOff>
    </xdr:to>
    <xdr:sp>
      <xdr:nvSpPr>
        <xdr:cNvPr id="16" name="Line 31"/>
        <xdr:cNvSpPr>
          <a:spLocks/>
        </xdr:cNvSpPr>
      </xdr:nvSpPr>
      <xdr:spPr>
        <a:xfrm>
          <a:off x="3305175" y="35461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84"/>
  <sheetViews>
    <sheetView tabSelected="1" zoomScaleSheetLayoutView="100" workbookViewId="0" topLeftCell="A1">
      <selection activeCell="L57" sqref="L57"/>
    </sheetView>
  </sheetViews>
  <sheetFormatPr defaultColWidth="9.140625" defaultRowHeight="24.75" customHeight="1"/>
  <cols>
    <col min="1" max="1" width="1.421875" style="71" customWidth="1"/>
    <col min="2" max="2" width="3.57421875" style="71" customWidth="1"/>
    <col min="3" max="3" width="11.00390625" style="71" customWidth="1"/>
    <col min="4" max="4" width="13.00390625" style="71" customWidth="1"/>
    <col min="5" max="6" width="9.140625" style="71" customWidth="1"/>
    <col min="7" max="7" width="13.8515625" style="71" bestFit="1" customWidth="1"/>
    <col min="8" max="8" width="13.00390625" style="71" customWidth="1"/>
    <col min="9" max="9" width="11.8515625" style="71" customWidth="1"/>
    <col min="10" max="10" width="4.7109375" style="71" customWidth="1"/>
    <col min="11" max="11" width="11.28125" style="1" bestFit="1" customWidth="1"/>
    <col min="12" max="12" width="11.7109375" style="71" customWidth="1"/>
    <col min="13" max="13" width="0" style="71" hidden="1" customWidth="1"/>
    <col min="14" max="14" width="11.28125" style="71" hidden="1" customWidth="1"/>
    <col min="15" max="15" width="8.57421875" style="71" hidden="1" customWidth="1"/>
    <col min="16" max="16" width="13.140625" style="71" hidden="1" customWidth="1"/>
    <col min="17" max="22" width="0" style="71" hidden="1" customWidth="1"/>
    <col min="23" max="16384" width="9.140625" style="71" customWidth="1"/>
  </cols>
  <sheetData>
    <row r="1" spans="2:12" s="98" customFormat="1" ht="24.75" customHeight="1">
      <c r="B1" s="109" t="s">
        <v>214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3:12" s="98" customFormat="1" ht="24.75" customHeight="1">
      <c r="C2" s="99" t="s">
        <v>20</v>
      </c>
      <c r="D2" s="100" t="s">
        <v>215</v>
      </c>
      <c r="E2" s="100"/>
      <c r="F2" s="100"/>
      <c r="G2" s="100"/>
      <c r="H2" s="99" t="s">
        <v>21</v>
      </c>
      <c r="I2" s="101" t="s">
        <v>22</v>
      </c>
      <c r="J2" s="71"/>
      <c r="K2" s="1" t="s">
        <v>167</v>
      </c>
      <c r="L2" s="71"/>
    </row>
    <row r="3" spans="3:12" s="98" customFormat="1" ht="24.75" customHeight="1">
      <c r="C3" s="99" t="s">
        <v>23</v>
      </c>
      <c r="D3" s="100"/>
      <c r="E3" s="100"/>
      <c r="F3" s="100"/>
      <c r="G3" s="100"/>
      <c r="H3" s="99" t="s">
        <v>24</v>
      </c>
      <c r="I3" s="102">
        <f ca="1">NOW()</f>
        <v>39710.417425810185</v>
      </c>
      <c r="J3" s="71"/>
      <c r="K3" s="1"/>
      <c r="L3" s="71"/>
    </row>
    <row r="4" spans="2:12" ht="24.75" customHeight="1">
      <c r="B4" s="109" t="s">
        <v>25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24.75" customHeight="1">
      <c r="B5" s="110" t="s">
        <v>26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ht="24.75" customHeight="1">
      <c r="B6" s="103" t="s">
        <v>27</v>
      </c>
    </row>
    <row r="7" spans="2:3" ht="24.75" customHeight="1">
      <c r="B7" s="104" t="s">
        <v>28</v>
      </c>
      <c r="C7" s="71" t="s">
        <v>29</v>
      </c>
    </row>
    <row r="8" spans="2:3" ht="24.75" customHeight="1">
      <c r="B8" s="104" t="s">
        <v>30</v>
      </c>
      <c r="C8" s="71" t="s">
        <v>31</v>
      </c>
    </row>
    <row r="9" spans="2:3" ht="24.75" customHeight="1">
      <c r="B9" s="104" t="s">
        <v>32</v>
      </c>
      <c r="C9" s="71" t="s">
        <v>15</v>
      </c>
    </row>
    <row r="10" spans="2:3" ht="24.75" customHeight="1">
      <c r="B10" s="104" t="s">
        <v>33</v>
      </c>
      <c r="C10" s="71" t="s">
        <v>16</v>
      </c>
    </row>
    <row r="11" spans="2:3" ht="24.75" customHeight="1">
      <c r="B11" s="104" t="s">
        <v>34</v>
      </c>
      <c r="C11" s="71" t="s">
        <v>17</v>
      </c>
    </row>
    <row r="12" spans="2:17" ht="24.75" customHeight="1">
      <c r="B12" s="103" t="s">
        <v>35</v>
      </c>
      <c r="N12" s="23"/>
      <c r="O12" s="24"/>
      <c r="P12" s="114"/>
      <c r="Q12" s="114"/>
    </row>
    <row r="13" spans="3:17" ht="24.75" customHeight="1">
      <c r="C13" s="71" t="s">
        <v>36</v>
      </c>
      <c r="I13" s="71" t="s">
        <v>37</v>
      </c>
      <c r="J13" s="71" t="s">
        <v>0</v>
      </c>
      <c r="K13" s="84">
        <v>240</v>
      </c>
      <c r="L13" s="71" t="s">
        <v>1</v>
      </c>
      <c r="N13" s="23"/>
      <c r="O13" s="24"/>
      <c r="P13" s="25"/>
      <c r="Q13" s="26"/>
    </row>
    <row r="14" spans="3:17" ht="24.75" customHeight="1">
      <c r="C14" s="71" t="s">
        <v>38</v>
      </c>
      <c r="H14" s="71" t="s">
        <v>39</v>
      </c>
      <c r="I14" s="71" t="s">
        <v>40</v>
      </c>
      <c r="J14" s="71" t="s">
        <v>0</v>
      </c>
      <c r="K14" s="105">
        <f>IF(0.375*K13&gt;65,65,0.375*K13)</f>
        <v>65</v>
      </c>
      <c r="L14" s="71" t="s">
        <v>1</v>
      </c>
      <c r="N14" s="23"/>
      <c r="O14" s="24"/>
      <c r="P14" s="28"/>
      <c r="Q14" s="26"/>
    </row>
    <row r="15" spans="3:17" ht="24.75" customHeight="1">
      <c r="C15" s="71" t="s">
        <v>41</v>
      </c>
      <c r="H15" s="71" t="s">
        <v>42</v>
      </c>
      <c r="I15" s="71" t="s">
        <v>43</v>
      </c>
      <c r="J15" s="71" t="s">
        <v>0</v>
      </c>
      <c r="K15" s="105">
        <f>0.29*($K$13^0.5)</f>
        <v>4.492660681600603</v>
      </c>
      <c r="L15" s="71" t="s">
        <v>1</v>
      </c>
      <c r="N15" s="23"/>
      <c r="O15" s="24"/>
      <c r="P15" s="25"/>
      <c r="Q15" s="26"/>
    </row>
    <row r="16" spans="3:17" ht="24.75" customHeight="1">
      <c r="C16" s="71" t="s">
        <v>44</v>
      </c>
      <c r="H16" s="71" t="s">
        <v>45</v>
      </c>
      <c r="I16" s="71" t="s">
        <v>46</v>
      </c>
      <c r="J16" s="71" t="s">
        <v>0</v>
      </c>
      <c r="K16" s="105">
        <f>0.53*($K$13^0.5)</f>
        <v>8.210724693959724</v>
      </c>
      <c r="L16" s="71" t="s">
        <v>1</v>
      </c>
      <c r="N16" s="23"/>
      <c r="O16" s="24"/>
      <c r="P16" s="25"/>
      <c r="Q16" s="26"/>
    </row>
    <row r="17" spans="3:17" ht="24.75" customHeight="1">
      <c r="C17" s="71" t="s">
        <v>47</v>
      </c>
      <c r="H17" s="71" t="s">
        <v>48</v>
      </c>
      <c r="I17" s="71" t="s">
        <v>49</v>
      </c>
      <c r="J17" s="71" t="s">
        <v>0</v>
      </c>
      <c r="K17" s="105">
        <f>1.32*($K$13^0.5)</f>
        <v>20.449352067975163</v>
      </c>
      <c r="L17" s="71" t="s">
        <v>1</v>
      </c>
      <c r="N17" s="23"/>
      <c r="O17" s="24"/>
      <c r="P17" s="25"/>
      <c r="Q17" s="26"/>
    </row>
    <row r="18" spans="3:12" ht="24.75" customHeight="1">
      <c r="C18" s="71" t="s">
        <v>50</v>
      </c>
      <c r="H18" s="71" t="s">
        <v>51</v>
      </c>
      <c r="I18" s="71" t="s">
        <v>52</v>
      </c>
      <c r="J18" s="71" t="s">
        <v>0</v>
      </c>
      <c r="K18" s="105">
        <f>1.65*($K$13^0.5)</f>
        <v>25.56169008496895</v>
      </c>
      <c r="L18" s="71" t="s">
        <v>1</v>
      </c>
    </row>
    <row r="19" spans="3:12" ht="24.75" customHeight="1">
      <c r="C19" s="71" t="s">
        <v>53</v>
      </c>
      <c r="H19" s="71" t="s">
        <v>54</v>
      </c>
      <c r="I19" s="71" t="s">
        <v>123</v>
      </c>
      <c r="J19" s="71" t="s">
        <v>0</v>
      </c>
      <c r="K19" s="32">
        <f>15100*($K$13^0.5)</f>
        <v>233928.194110928</v>
      </c>
      <c r="L19" s="71" t="s">
        <v>1</v>
      </c>
    </row>
    <row r="20" ht="24.75" customHeight="1">
      <c r="B20" s="103" t="s">
        <v>55</v>
      </c>
    </row>
    <row r="21" spans="3:12" ht="24.75" customHeight="1">
      <c r="C21" s="71" t="s">
        <v>53</v>
      </c>
      <c r="H21" s="71" t="s">
        <v>56</v>
      </c>
      <c r="I21" s="106"/>
      <c r="J21" s="71" t="s">
        <v>0</v>
      </c>
      <c r="K21" s="106">
        <v>2040000</v>
      </c>
      <c r="L21" s="71" t="s">
        <v>1</v>
      </c>
    </row>
    <row r="22" spans="3:12" ht="24.75" customHeight="1">
      <c r="C22" s="6" t="s">
        <v>3</v>
      </c>
      <c r="D22" s="7"/>
      <c r="E22" s="7"/>
      <c r="F22" s="7"/>
      <c r="G22" s="6"/>
      <c r="H22" s="8" t="s">
        <v>57</v>
      </c>
      <c r="I22" s="3"/>
      <c r="J22" s="71" t="s">
        <v>0</v>
      </c>
      <c r="K22" s="61">
        <v>3000</v>
      </c>
      <c r="L22" s="2" t="s">
        <v>1</v>
      </c>
    </row>
    <row r="23" spans="3:12" ht="24.75" customHeight="1">
      <c r="C23" s="2" t="s">
        <v>2</v>
      </c>
      <c r="D23" s="4"/>
      <c r="E23" s="4"/>
      <c r="F23" s="4"/>
      <c r="G23" s="9" t="str">
        <f>IF(K22&lt;3000,"SR-24",IF(K22=3000,"SD-30",IF(K22&gt;4000,"SD-50","SD-40")))</f>
        <v>SD-30</v>
      </c>
      <c r="H23" s="4" t="s">
        <v>58</v>
      </c>
      <c r="I23" s="3" t="s">
        <v>59</v>
      </c>
      <c r="J23" s="71" t="s">
        <v>0</v>
      </c>
      <c r="K23" s="5">
        <f>IF(K22*0.5&gt;1700,1700,K22*0.5)</f>
        <v>1500</v>
      </c>
      <c r="L23" s="2" t="s">
        <v>1</v>
      </c>
    </row>
    <row r="24" spans="3:12" ht="24.75" customHeight="1">
      <c r="C24" s="6" t="s">
        <v>4</v>
      </c>
      <c r="D24" s="7"/>
      <c r="E24" s="7"/>
      <c r="F24" s="7"/>
      <c r="G24" s="6"/>
      <c r="H24" s="8" t="s">
        <v>60</v>
      </c>
      <c r="I24" s="3"/>
      <c r="J24" s="71" t="s">
        <v>0</v>
      </c>
      <c r="K24" s="61">
        <v>2400</v>
      </c>
      <c r="L24" s="2" t="s">
        <v>1</v>
      </c>
    </row>
    <row r="25" spans="3:18" ht="24.75" customHeight="1">
      <c r="C25" s="2" t="s">
        <v>5</v>
      </c>
      <c r="D25" s="4"/>
      <c r="E25" s="4"/>
      <c r="F25" s="4"/>
      <c r="G25" s="9" t="str">
        <f>IF(K24&lt;3000,"SR-24",IF(K24=3000,"SD-30",IF(K24&gt;4000,"SD-50","SD-40")))</f>
        <v>SR-24</v>
      </c>
      <c r="H25" s="4" t="s">
        <v>58</v>
      </c>
      <c r="I25" s="3" t="s">
        <v>59</v>
      </c>
      <c r="J25" s="71" t="s">
        <v>0</v>
      </c>
      <c r="K25" s="5">
        <f>IF(K24*0.5&gt;1700,1700,K24*0.5)</f>
        <v>1200</v>
      </c>
      <c r="L25" s="2" t="s">
        <v>1</v>
      </c>
      <c r="Q25" s="71" t="s">
        <v>61</v>
      </c>
      <c r="R25" s="71" t="s">
        <v>61</v>
      </c>
    </row>
    <row r="26" spans="3:12" ht="24.75" customHeight="1">
      <c r="C26" s="4"/>
      <c r="D26" s="4"/>
      <c r="E26" s="4"/>
      <c r="F26" s="4"/>
      <c r="G26" s="1" t="s">
        <v>6</v>
      </c>
      <c r="H26" s="31" t="s">
        <v>62</v>
      </c>
      <c r="I26" s="3"/>
      <c r="J26" s="71" t="s">
        <v>0</v>
      </c>
      <c r="K26" s="32">
        <f>K21/K19</f>
        <v>8.720624753049812</v>
      </c>
      <c r="L26" s="4"/>
    </row>
    <row r="27" spans="3:12" ht="24.75" customHeight="1">
      <c r="C27" s="4" t="s">
        <v>7</v>
      </c>
      <c r="D27" s="4"/>
      <c r="E27" s="11"/>
      <c r="F27" s="4"/>
      <c r="G27" s="12" t="s">
        <v>11</v>
      </c>
      <c r="H27" s="11" t="s">
        <v>8</v>
      </c>
      <c r="I27" s="3"/>
      <c r="J27" s="71" t="s">
        <v>0</v>
      </c>
      <c r="K27" s="14">
        <f>1/(1+(K23/(K26*K14)))</f>
        <v>0.27425463119610777</v>
      </c>
      <c r="L27" s="4"/>
    </row>
    <row r="28" spans="3:12" ht="24.75" customHeight="1">
      <c r="C28" s="4"/>
      <c r="D28" s="4"/>
      <c r="E28" s="11"/>
      <c r="F28" s="4"/>
      <c r="G28" s="12" t="s">
        <v>12</v>
      </c>
      <c r="H28" s="11" t="s">
        <v>9</v>
      </c>
      <c r="I28" s="3"/>
      <c r="J28" s="71" t="s">
        <v>0</v>
      </c>
      <c r="K28" s="10">
        <f>1-(K27/3)</f>
        <v>0.9085817896012974</v>
      </c>
      <c r="L28" s="4"/>
    </row>
    <row r="29" spans="3:12" ht="24.75" customHeight="1">
      <c r="C29" s="4"/>
      <c r="D29" s="4"/>
      <c r="E29" s="11"/>
      <c r="F29" s="4"/>
      <c r="G29" s="13" t="s">
        <v>13</v>
      </c>
      <c r="H29" s="11" t="s">
        <v>10</v>
      </c>
      <c r="I29" s="3"/>
      <c r="J29" s="71" t="s">
        <v>0</v>
      </c>
      <c r="K29" s="10">
        <f>0.5*K14*K27*K28</f>
        <v>8.09843981760461</v>
      </c>
      <c r="L29" s="2" t="s">
        <v>1</v>
      </c>
    </row>
    <row r="30" spans="3:12" ht="7.5" customHeight="1">
      <c r="C30" s="4"/>
      <c r="D30" s="4"/>
      <c r="E30" s="4"/>
      <c r="F30" s="4"/>
      <c r="G30" s="4"/>
      <c r="H30" s="4"/>
      <c r="I30" s="4"/>
      <c r="L30" s="4"/>
    </row>
    <row r="31" spans="3:12" ht="24.75" customHeight="1">
      <c r="C31" s="4" t="s">
        <v>14</v>
      </c>
      <c r="D31" s="4"/>
      <c r="E31" s="4"/>
      <c r="F31" s="4"/>
      <c r="G31" s="12" t="s">
        <v>11</v>
      </c>
      <c r="H31" s="11" t="s">
        <v>8</v>
      </c>
      <c r="I31" s="3"/>
      <c r="J31" s="71" t="s">
        <v>0</v>
      </c>
      <c r="K31" s="14">
        <f>1/(1+(K25/(K26*K14)))</f>
        <v>0.32082158745811584</v>
      </c>
      <c r="L31" s="4"/>
    </row>
    <row r="32" spans="3:12" ht="24.75" customHeight="1">
      <c r="C32" s="4"/>
      <c r="D32" s="4"/>
      <c r="E32" s="4"/>
      <c r="F32" s="4"/>
      <c r="G32" s="12" t="s">
        <v>12</v>
      </c>
      <c r="H32" s="11" t="s">
        <v>9</v>
      </c>
      <c r="I32" s="3"/>
      <c r="J32" s="71" t="s">
        <v>0</v>
      </c>
      <c r="K32" s="10">
        <f>1-(K31/3)</f>
        <v>0.8930594708472948</v>
      </c>
      <c r="L32" s="4"/>
    </row>
    <row r="33" spans="3:12" ht="24.75" customHeight="1">
      <c r="C33" s="4"/>
      <c r="D33" s="4"/>
      <c r="E33" s="4"/>
      <c r="F33" s="4"/>
      <c r="G33" s="13" t="s">
        <v>13</v>
      </c>
      <c r="H33" s="11" t="s">
        <v>10</v>
      </c>
      <c r="I33" s="3"/>
      <c r="J33" s="71" t="s">
        <v>0</v>
      </c>
      <c r="K33" s="10">
        <f>0.5*K14*K31*K32</f>
        <v>9.311664606781356</v>
      </c>
      <c r="L33" s="2" t="s">
        <v>1</v>
      </c>
    </row>
    <row r="34" spans="2:3" ht="8.25" customHeight="1">
      <c r="B34" s="103"/>
      <c r="C34" s="103"/>
    </row>
    <row r="35" spans="3:7" ht="24.75" customHeight="1">
      <c r="C35" s="33" t="s">
        <v>63</v>
      </c>
      <c r="D35" s="24"/>
      <c r="E35" s="34" t="s">
        <v>64</v>
      </c>
      <c r="F35" s="34"/>
      <c r="G35" s="107"/>
    </row>
    <row r="36" spans="3:7" ht="24.75" customHeight="1">
      <c r="C36" s="36"/>
      <c r="D36" s="24"/>
      <c r="E36" s="34" t="s">
        <v>65</v>
      </c>
      <c r="G36" s="106"/>
    </row>
    <row r="37" spans="3:7" ht="8.25" customHeight="1">
      <c r="C37" s="36"/>
      <c r="D37" s="24"/>
      <c r="G37" s="106"/>
    </row>
    <row r="38" spans="3:7" ht="24.75" customHeight="1">
      <c r="C38" s="33" t="s">
        <v>66</v>
      </c>
      <c r="D38" s="24"/>
      <c r="E38" s="71" t="s">
        <v>67</v>
      </c>
      <c r="G38" s="106"/>
    </row>
    <row r="39" spans="3:7" ht="6.75" customHeight="1">
      <c r="C39" s="36"/>
      <c r="D39" s="24"/>
      <c r="G39" s="106"/>
    </row>
    <row r="40" spans="3:10" ht="24.75" customHeight="1">
      <c r="C40" s="33" t="s">
        <v>68</v>
      </c>
      <c r="D40" s="24"/>
      <c r="E40" s="71" t="s">
        <v>69</v>
      </c>
      <c r="I40" s="106"/>
      <c r="J40" s="2"/>
    </row>
    <row r="41" spans="6:9" ht="24.75" customHeight="1">
      <c r="F41" s="71" t="s">
        <v>70</v>
      </c>
      <c r="G41" s="106">
        <v>2400</v>
      </c>
      <c r="H41" s="2" t="s">
        <v>1</v>
      </c>
      <c r="I41" s="71" t="s">
        <v>71</v>
      </c>
    </row>
    <row r="42" spans="6:9" ht="24.75" customHeight="1">
      <c r="F42" s="71" t="s">
        <v>70</v>
      </c>
      <c r="G42" s="106">
        <v>2200</v>
      </c>
      <c r="H42" s="2" t="s">
        <v>1</v>
      </c>
      <c r="I42" s="71" t="s">
        <v>72</v>
      </c>
    </row>
    <row r="43" ht="24.75" customHeight="1">
      <c r="E43" s="71" t="s">
        <v>73</v>
      </c>
    </row>
    <row r="44" spans="6:8" ht="24.75" customHeight="1">
      <c r="F44" s="71" t="s">
        <v>70</v>
      </c>
      <c r="G44" s="106">
        <v>700</v>
      </c>
      <c r="H44" s="2" t="s">
        <v>1</v>
      </c>
    </row>
    <row r="45" ht="7.5" customHeight="1"/>
    <row r="46" spans="3:5" ht="24.75" customHeight="1">
      <c r="C46" s="33" t="s">
        <v>74</v>
      </c>
      <c r="E46" s="71" t="s">
        <v>75</v>
      </c>
    </row>
    <row r="47" ht="6.75" customHeight="1"/>
    <row r="48" spans="3:12" ht="24.75" customHeight="1">
      <c r="C48" s="33" t="s">
        <v>76</v>
      </c>
      <c r="E48" s="71" t="s">
        <v>83</v>
      </c>
      <c r="H48" s="1" t="s">
        <v>0</v>
      </c>
      <c r="I48" s="106">
        <v>200</v>
      </c>
      <c r="J48" s="4"/>
      <c r="K48" s="4" t="s">
        <v>106</v>
      </c>
      <c r="L48" s="4"/>
    </row>
    <row r="49" spans="9:12" ht="8.25" customHeight="1">
      <c r="I49" s="106"/>
      <c r="J49" s="1"/>
      <c r="L49" s="1"/>
    </row>
    <row r="50" spans="3:12" ht="24.75" customHeight="1">
      <c r="C50" s="33" t="s">
        <v>77</v>
      </c>
      <c r="E50" s="71" t="s">
        <v>78</v>
      </c>
      <c r="H50" s="1" t="s">
        <v>0</v>
      </c>
      <c r="I50" s="106">
        <v>2400</v>
      </c>
      <c r="J50" s="4"/>
      <c r="K50" s="4" t="s">
        <v>108</v>
      </c>
      <c r="L50" s="4"/>
    </row>
    <row r="51" spans="5:12" ht="24.75" customHeight="1">
      <c r="E51" s="71" t="s">
        <v>79</v>
      </c>
      <c r="H51" s="1" t="s">
        <v>0</v>
      </c>
      <c r="I51" s="106">
        <v>1000</v>
      </c>
      <c r="J51" s="4"/>
      <c r="K51" s="4" t="s">
        <v>108</v>
      </c>
      <c r="L51" s="4"/>
    </row>
    <row r="52" spans="5:12" ht="24.75" customHeight="1">
      <c r="E52" s="71" t="s">
        <v>82</v>
      </c>
      <c r="H52" s="1" t="s">
        <v>0</v>
      </c>
      <c r="I52" s="106">
        <v>1380</v>
      </c>
      <c r="J52" s="4"/>
      <c r="K52" s="4" t="s">
        <v>108</v>
      </c>
      <c r="L52" s="4"/>
    </row>
    <row r="53" spans="5:12" ht="24.75" customHeight="1">
      <c r="E53" s="71" t="s">
        <v>80</v>
      </c>
      <c r="H53" s="1" t="s">
        <v>0</v>
      </c>
      <c r="I53" s="106">
        <v>1900</v>
      </c>
      <c r="J53" s="4"/>
      <c r="K53" s="4" t="s">
        <v>108</v>
      </c>
      <c r="L53" s="4"/>
    </row>
    <row r="54" spans="5:12" ht="24.75" customHeight="1">
      <c r="E54" s="71" t="s">
        <v>81</v>
      </c>
      <c r="H54" s="1" t="s">
        <v>0</v>
      </c>
      <c r="I54" s="106">
        <v>2200</v>
      </c>
      <c r="J54" s="4"/>
      <c r="K54" s="4" t="s">
        <v>108</v>
      </c>
      <c r="L54" s="4"/>
    </row>
    <row r="55" spans="5:12" ht="24.75" customHeight="1">
      <c r="E55" s="71" t="s">
        <v>84</v>
      </c>
      <c r="H55" s="1" t="s">
        <v>0</v>
      </c>
      <c r="I55" s="106">
        <v>1000</v>
      </c>
      <c r="J55" s="4"/>
      <c r="K55" s="4" t="s">
        <v>106</v>
      </c>
      <c r="L55" s="4"/>
    </row>
    <row r="56" spans="3:12" ht="24.75" customHeight="1">
      <c r="C56" s="33" t="s">
        <v>85</v>
      </c>
      <c r="G56" s="1" t="s">
        <v>94</v>
      </c>
      <c r="H56" s="1" t="s">
        <v>0</v>
      </c>
      <c r="I56" s="71">
        <v>20</v>
      </c>
      <c r="J56" s="4" t="s">
        <v>86</v>
      </c>
      <c r="K56" s="4" t="s">
        <v>109</v>
      </c>
      <c r="L56" s="4"/>
    </row>
    <row r="58" spans="2:12" ht="24.75" customHeight="1">
      <c r="B58" s="111" t="s">
        <v>87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3:5" ht="24.75" customHeight="1">
      <c r="C59" s="82" t="s">
        <v>90</v>
      </c>
      <c r="E59" s="89"/>
    </row>
    <row r="60" spans="5:11" ht="24.75" customHeight="1">
      <c r="E60" s="71" t="s">
        <v>89</v>
      </c>
      <c r="G60" s="83" t="s">
        <v>101</v>
      </c>
      <c r="H60" s="1" t="s">
        <v>0</v>
      </c>
      <c r="I60" s="68">
        <v>6</v>
      </c>
      <c r="K60" s="73" t="s">
        <v>93</v>
      </c>
    </row>
    <row r="61" spans="5:11" ht="24.75" customHeight="1">
      <c r="E61" s="71" t="s">
        <v>91</v>
      </c>
      <c r="G61" s="83" t="s">
        <v>102</v>
      </c>
      <c r="H61" s="1" t="s">
        <v>0</v>
      </c>
      <c r="I61" s="68">
        <v>7.2</v>
      </c>
      <c r="K61" s="73" t="s">
        <v>93</v>
      </c>
    </row>
    <row r="62" spans="5:11" ht="24.75" customHeight="1">
      <c r="E62" s="71" t="s">
        <v>92</v>
      </c>
      <c r="G62" s="83" t="s">
        <v>103</v>
      </c>
      <c r="H62" s="1" t="s">
        <v>0</v>
      </c>
      <c r="I62" s="68">
        <v>3.8</v>
      </c>
      <c r="K62" s="73" t="s">
        <v>93</v>
      </c>
    </row>
    <row r="63" spans="5:11" ht="24.75" customHeight="1">
      <c r="E63" s="71" t="s">
        <v>141</v>
      </c>
      <c r="G63" s="83" t="s">
        <v>142</v>
      </c>
      <c r="H63" s="1" t="s">
        <v>0</v>
      </c>
      <c r="I63" s="68">
        <v>0.3</v>
      </c>
      <c r="K63" s="73" t="s">
        <v>93</v>
      </c>
    </row>
    <row r="64" ht="24.75" customHeight="1">
      <c r="C64" s="69" t="s">
        <v>88</v>
      </c>
    </row>
    <row r="65" spans="5:11" ht="24.75" customHeight="1">
      <c r="E65" s="71" t="s">
        <v>95</v>
      </c>
      <c r="G65" s="90"/>
      <c r="H65" s="1" t="s">
        <v>0</v>
      </c>
      <c r="I65" s="91">
        <f>(1-(SIN(22*I56/(180*7))))/(1+(SIN(22*I56/(180*7))))</f>
        <v>0.4901440024448583</v>
      </c>
      <c r="K65" s="73"/>
    </row>
    <row r="66" spans="4:13" ht="24.75" customHeight="1">
      <c r="D66" s="71" t="s">
        <v>79</v>
      </c>
      <c r="E66" s="71" t="s">
        <v>96</v>
      </c>
      <c r="H66" s="1" t="s">
        <v>0</v>
      </c>
      <c r="I66" s="92">
        <f>I55*I62</f>
        <v>3800</v>
      </c>
      <c r="K66" s="4" t="s">
        <v>106</v>
      </c>
      <c r="L66" s="4"/>
      <c r="M66" s="4"/>
    </row>
    <row r="67" spans="4:12" ht="24.75" customHeight="1">
      <c r="D67" s="71" t="s">
        <v>82</v>
      </c>
      <c r="E67" s="71" t="s">
        <v>97</v>
      </c>
      <c r="H67" s="1" t="s">
        <v>0</v>
      </c>
      <c r="I67" s="93">
        <f>I52*I62</f>
        <v>5244</v>
      </c>
      <c r="K67" s="4" t="s">
        <v>106</v>
      </c>
      <c r="L67" s="4"/>
    </row>
    <row r="68" spans="4:12" ht="24.75" customHeight="1">
      <c r="D68" s="71" t="s">
        <v>80</v>
      </c>
      <c r="E68" s="71" t="s">
        <v>98</v>
      </c>
      <c r="H68" s="1" t="s">
        <v>0</v>
      </c>
      <c r="I68" s="93">
        <f>I53*I62*I65</f>
        <v>3538.839697651877</v>
      </c>
      <c r="K68" s="4" t="s">
        <v>107</v>
      </c>
      <c r="L68" s="4"/>
    </row>
    <row r="69" spans="4:12" ht="24.75" customHeight="1">
      <c r="D69" s="71" t="s">
        <v>81</v>
      </c>
      <c r="E69" s="71" t="s">
        <v>100</v>
      </c>
      <c r="H69" s="1" t="s">
        <v>0</v>
      </c>
      <c r="I69" s="92">
        <f>I65*(I54-I55)*I62</f>
        <v>2235.056651148554</v>
      </c>
      <c r="K69" s="4" t="s">
        <v>107</v>
      </c>
      <c r="L69" s="4"/>
    </row>
    <row r="70" spans="4:12" ht="24.75" customHeight="1">
      <c r="D70" s="71" t="s">
        <v>84</v>
      </c>
      <c r="E70" s="71" t="s">
        <v>99</v>
      </c>
      <c r="H70" s="1" t="s">
        <v>0</v>
      </c>
      <c r="I70" s="92">
        <f>I55*I65</f>
        <v>490.1440024448583</v>
      </c>
      <c r="K70" s="4" t="s">
        <v>107</v>
      </c>
      <c r="L70" s="4"/>
    </row>
    <row r="71" spans="3:11" ht="23.25" customHeight="1">
      <c r="C71" s="110" t="s">
        <v>150</v>
      </c>
      <c r="D71" s="110"/>
      <c r="E71" s="110"/>
      <c r="F71" s="110"/>
      <c r="G71" s="110"/>
      <c r="H71" s="110"/>
      <c r="I71" s="110"/>
      <c r="J71" s="110"/>
      <c r="K71" s="110"/>
    </row>
    <row r="72" spans="3:11" ht="18" customHeight="1">
      <c r="C72" s="113"/>
      <c r="D72" s="113"/>
      <c r="E72" s="113"/>
      <c r="F72" s="113"/>
      <c r="G72" s="113"/>
      <c r="H72" s="113"/>
      <c r="I72" s="113"/>
      <c r="J72" s="113"/>
      <c r="K72" s="113"/>
    </row>
    <row r="73" ht="23.25">
      <c r="K73" s="71"/>
    </row>
    <row r="74" ht="23.25">
      <c r="K74" s="71"/>
    </row>
    <row r="75" ht="23.25">
      <c r="K75" s="71"/>
    </row>
    <row r="76" ht="23.25">
      <c r="K76" s="71"/>
    </row>
    <row r="77" ht="23.25">
      <c r="K77" s="71"/>
    </row>
    <row r="78" ht="23.25">
      <c r="K78" s="71"/>
    </row>
    <row r="79" ht="23.25">
      <c r="K79" s="71"/>
    </row>
    <row r="80" ht="23.25">
      <c r="K80" s="71"/>
    </row>
    <row r="81" ht="23.25">
      <c r="K81" s="71"/>
    </row>
    <row r="82" ht="23.25">
      <c r="K82" s="71"/>
    </row>
    <row r="83" ht="23.25">
      <c r="K83" s="71"/>
    </row>
    <row r="84" ht="23.25">
      <c r="K84" s="71"/>
    </row>
    <row r="85" ht="23.25">
      <c r="K85" s="71"/>
    </row>
    <row r="86" ht="23.25">
      <c r="K86" s="71"/>
    </row>
    <row r="87" ht="23.25">
      <c r="K87" s="71"/>
    </row>
    <row r="88" ht="23.25">
      <c r="K88" s="71"/>
    </row>
    <row r="89" ht="23.25">
      <c r="K89" s="71"/>
    </row>
    <row r="90" ht="23.25">
      <c r="K90" s="71"/>
    </row>
    <row r="91" ht="23.25">
      <c r="K91" s="71"/>
    </row>
    <row r="92" ht="23.25">
      <c r="K92" s="71"/>
    </row>
    <row r="93" ht="23.25">
      <c r="K93" s="71"/>
    </row>
    <row r="94" ht="23.25">
      <c r="K94" s="71"/>
    </row>
    <row r="95" ht="23.25">
      <c r="K95" s="71"/>
    </row>
    <row r="96" ht="23.25">
      <c r="K96" s="71"/>
    </row>
    <row r="97" ht="23.25">
      <c r="K97" s="71"/>
    </row>
    <row r="98" ht="23.25">
      <c r="K98" s="71"/>
    </row>
    <row r="99" ht="23.25">
      <c r="K99" s="71"/>
    </row>
    <row r="100" ht="23.25">
      <c r="K100" s="71"/>
    </row>
    <row r="101" ht="23.25">
      <c r="K101" s="71"/>
    </row>
    <row r="102" ht="23.25">
      <c r="K102" s="71"/>
    </row>
    <row r="103" spans="3:11" ht="23.25">
      <c r="C103" s="71" t="s">
        <v>151</v>
      </c>
      <c r="K103" s="71"/>
    </row>
    <row r="104" spans="6:11" ht="24.75" customHeight="1">
      <c r="F104" s="74"/>
      <c r="G104" s="77" t="s">
        <v>11</v>
      </c>
      <c r="H104" s="1" t="s">
        <v>0</v>
      </c>
      <c r="I104" s="76">
        <f>I61/I62</f>
        <v>1.8947368421052633</v>
      </c>
      <c r="K104" s="73" t="s">
        <v>113</v>
      </c>
    </row>
    <row r="105" spans="3:11" ht="24.75" customHeight="1">
      <c r="C105" s="71" t="s">
        <v>156</v>
      </c>
      <c r="F105" s="74"/>
      <c r="G105" s="77" t="s">
        <v>152</v>
      </c>
      <c r="H105" s="1" t="s">
        <v>0</v>
      </c>
      <c r="I105" s="94">
        <v>0.076</v>
      </c>
      <c r="K105" s="73"/>
    </row>
    <row r="106" spans="3:11" ht="24.75" customHeight="1">
      <c r="C106" s="71" t="s">
        <v>157</v>
      </c>
      <c r="F106" s="74"/>
      <c r="G106" s="77" t="s">
        <v>153</v>
      </c>
      <c r="H106" s="1" t="s">
        <v>0</v>
      </c>
      <c r="I106" s="94">
        <v>0.014</v>
      </c>
      <c r="K106" s="73"/>
    </row>
    <row r="107" spans="3:11" ht="24.75" customHeight="1">
      <c r="C107" s="71" t="s">
        <v>158</v>
      </c>
      <c r="F107" s="74"/>
      <c r="G107" s="77" t="s">
        <v>154</v>
      </c>
      <c r="H107" s="1" t="s">
        <v>0</v>
      </c>
      <c r="I107" s="94">
        <v>0.016</v>
      </c>
      <c r="K107" s="73"/>
    </row>
    <row r="108" spans="3:11" ht="24.75" customHeight="1">
      <c r="C108" s="71" t="s">
        <v>159</v>
      </c>
      <c r="F108" s="74"/>
      <c r="G108" s="77" t="s">
        <v>155</v>
      </c>
      <c r="H108" s="1" t="s">
        <v>0</v>
      </c>
      <c r="I108" s="94">
        <v>0.004</v>
      </c>
      <c r="K108" s="73"/>
    </row>
    <row r="109" spans="3:4" ht="24.75" customHeight="1">
      <c r="C109" s="108" t="s">
        <v>104</v>
      </c>
      <c r="D109" s="71" t="s">
        <v>105</v>
      </c>
    </row>
    <row r="110" spans="7:11" ht="24.75" customHeight="1">
      <c r="G110" s="74" t="s">
        <v>160</v>
      </c>
      <c r="H110" s="1" t="s">
        <v>0</v>
      </c>
      <c r="I110" s="76">
        <f>I105*$I$67*$I$62^2</f>
        <v>5754.9753599999995</v>
      </c>
      <c r="K110" s="73" t="s">
        <v>176</v>
      </c>
    </row>
    <row r="111" spans="7:11" ht="24.75" customHeight="1">
      <c r="G111" s="74" t="s">
        <v>162</v>
      </c>
      <c r="H111" s="1" t="s">
        <v>0</v>
      </c>
      <c r="I111" s="76">
        <f>I107*$I$67*$I$62^2</f>
        <v>1211.57376</v>
      </c>
      <c r="K111" s="73" t="s">
        <v>176</v>
      </c>
    </row>
    <row r="112" spans="7:11" ht="24.75" customHeight="1">
      <c r="G112" s="74" t="s">
        <v>161</v>
      </c>
      <c r="H112" s="1" t="s">
        <v>0</v>
      </c>
      <c r="I112" s="76">
        <f>I106*$I$67*$I$61^2</f>
        <v>3805.88544</v>
      </c>
      <c r="K112" s="73" t="s">
        <v>176</v>
      </c>
    </row>
    <row r="113" spans="7:11" ht="24.75" customHeight="1">
      <c r="G113" s="74" t="s">
        <v>163</v>
      </c>
      <c r="H113" s="1" t="s">
        <v>0</v>
      </c>
      <c r="I113" s="76">
        <f>I108*$I$67*$I$61^2</f>
        <v>1087.3958400000001</v>
      </c>
      <c r="K113" s="73" t="s">
        <v>176</v>
      </c>
    </row>
    <row r="114" spans="3:14" ht="24.75" customHeight="1">
      <c r="C114" s="108" t="s">
        <v>111</v>
      </c>
      <c r="D114" s="71" t="s">
        <v>110</v>
      </c>
      <c r="K114" s="73"/>
      <c r="N114" s="85">
        <f>I66+I69+I70</f>
        <v>6525.200653593412</v>
      </c>
    </row>
    <row r="115" spans="7:11" ht="24.75" customHeight="1">
      <c r="G115" s="74" t="s">
        <v>160</v>
      </c>
      <c r="H115" s="1" t="s">
        <v>0</v>
      </c>
      <c r="I115" s="76">
        <f>I105*$N$114*$I$62^2</f>
        <v>7161.016205279554</v>
      </c>
      <c r="K115" s="73" t="s">
        <v>176</v>
      </c>
    </row>
    <row r="116" spans="7:11" ht="24.75" customHeight="1">
      <c r="G116" s="74" t="s">
        <v>162</v>
      </c>
      <c r="H116" s="1" t="s">
        <v>0</v>
      </c>
      <c r="I116" s="76">
        <f>I107*$N$114*$I$62^2</f>
        <v>1507.5823590062218</v>
      </c>
      <c r="K116" s="73" t="s">
        <v>176</v>
      </c>
    </row>
    <row r="117" spans="7:11" ht="24.75" customHeight="1">
      <c r="G117" s="74" t="s">
        <v>161</v>
      </c>
      <c r="H117" s="1" t="s">
        <v>0</v>
      </c>
      <c r="I117" s="76">
        <f>I106*$N$114*$I$61^2</f>
        <v>4735.729626351956</v>
      </c>
      <c r="K117" s="73" t="s">
        <v>176</v>
      </c>
    </row>
    <row r="118" spans="7:11" ht="24.75" customHeight="1">
      <c r="G118" s="74" t="s">
        <v>163</v>
      </c>
      <c r="H118" s="1" t="s">
        <v>0</v>
      </c>
      <c r="I118" s="76">
        <f>I108*$N$114*$I$62^2</f>
        <v>376.89558975155546</v>
      </c>
      <c r="K118" s="73" t="s">
        <v>176</v>
      </c>
    </row>
    <row r="119" spans="4:11" ht="24.75" customHeight="1">
      <c r="D119" s="71" t="s">
        <v>112</v>
      </c>
      <c r="E119" s="71" t="s">
        <v>164</v>
      </c>
      <c r="H119" s="1" t="s">
        <v>0</v>
      </c>
      <c r="I119" s="72">
        <f>SQRT((MAX(I110,I111,I112,I113,I115,I116,I117,I118)*100)/(K29*100))</f>
        <v>29.73628076849535</v>
      </c>
      <c r="K119" s="73" t="s">
        <v>113</v>
      </c>
    </row>
    <row r="120" spans="4:12" ht="24.75" customHeight="1">
      <c r="D120" s="71" t="s">
        <v>165</v>
      </c>
      <c r="H120" s="1" t="s">
        <v>0</v>
      </c>
      <c r="I120" s="72">
        <f>(MAX(I110,I111,I112,I113,I115,I116,I117,I118)*100*(I121/2))/((100*I121^3)/12)</f>
        <v>21.2178257934209</v>
      </c>
      <c r="K120" s="73" t="s">
        <v>1</v>
      </c>
      <c r="L120" s="88" t="str">
        <f>IF(I120&lt;1.99*K13^0.5,"O.K.","FAIL")</f>
        <v>O.K.</v>
      </c>
    </row>
    <row r="121" spans="7:11" ht="24.75" customHeight="1">
      <c r="G121" s="74" t="s">
        <v>114</v>
      </c>
      <c r="H121" s="1" t="s">
        <v>0</v>
      </c>
      <c r="I121" s="75">
        <v>45</v>
      </c>
      <c r="K121" s="73" t="s">
        <v>113</v>
      </c>
    </row>
    <row r="122" spans="4:11" ht="24.75" customHeight="1">
      <c r="D122" s="71" t="s">
        <v>115</v>
      </c>
      <c r="F122" s="71" t="s">
        <v>120</v>
      </c>
      <c r="H122" s="1" t="s">
        <v>0</v>
      </c>
      <c r="I122" s="75">
        <v>5</v>
      </c>
      <c r="K122" s="73" t="s">
        <v>113</v>
      </c>
    </row>
    <row r="123" spans="4:11" ht="24.75" customHeight="1">
      <c r="D123" s="71" t="s">
        <v>116</v>
      </c>
      <c r="G123" s="1" t="s">
        <v>119</v>
      </c>
      <c r="H123" s="1" t="s">
        <v>0</v>
      </c>
      <c r="I123" s="76">
        <f>$I$121-$I$122-1.2/2</f>
        <v>39.4</v>
      </c>
      <c r="K123" s="73" t="s">
        <v>113</v>
      </c>
    </row>
    <row r="124" spans="4:11" ht="24.75" customHeight="1">
      <c r="D124" s="71" t="s">
        <v>117</v>
      </c>
      <c r="G124" s="1" t="s">
        <v>119</v>
      </c>
      <c r="H124" s="1" t="s">
        <v>0</v>
      </c>
      <c r="I124" s="76">
        <f>$I$121-$I$122-1.6/2</f>
        <v>39.2</v>
      </c>
      <c r="K124" s="73" t="s">
        <v>113</v>
      </c>
    </row>
    <row r="125" spans="4:11" ht="24.75" customHeight="1">
      <c r="D125" s="71" t="s">
        <v>118</v>
      </c>
      <c r="G125" s="1" t="s">
        <v>119</v>
      </c>
      <c r="H125" s="1" t="s">
        <v>0</v>
      </c>
      <c r="I125" s="76">
        <f>$I$121-$I$122-2/2</f>
        <v>39</v>
      </c>
      <c r="K125" s="73" t="s">
        <v>113</v>
      </c>
    </row>
    <row r="126" spans="6:11" ht="24.75" customHeight="1">
      <c r="F126" s="74"/>
      <c r="G126" s="77" t="s">
        <v>137</v>
      </c>
      <c r="H126" s="1" t="s">
        <v>0</v>
      </c>
      <c r="I126" s="75">
        <f>I123</f>
        <v>39.4</v>
      </c>
      <c r="K126" s="73" t="s">
        <v>113</v>
      </c>
    </row>
    <row r="127" spans="7:12" ht="24.75" customHeight="1">
      <c r="G127" s="95" t="s">
        <v>121</v>
      </c>
      <c r="H127" s="1" t="s">
        <v>0</v>
      </c>
      <c r="I127" s="76">
        <f>K29*1*I126^2</f>
        <v>12571.694035256693</v>
      </c>
      <c r="K127" s="4" t="s">
        <v>122</v>
      </c>
      <c r="L127" s="88" t="str">
        <f>IF(I127&gt;MAX(I110,I111,I112,I113,I115,I116,I117,I118),"O.K.","FAIL.")</f>
        <v>O.K.</v>
      </c>
    </row>
    <row r="128" ht="24.75" customHeight="1">
      <c r="D128" s="96" t="s">
        <v>124</v>
      </c>
    </row>
    <row r="129" spans="4:11" ht="24.75" customHeight="1">
      <c r="D129" s="82" t="s">
        <v>125</v>
      </c>
      <c r="G129" s="71" t="s">
        <v>126</v>
      </c>
      <c r="H129" s="1" t="s">
        <v>0</v>
      </c>
      <c r="I129" s="76">
        <f>(MAX(I110,I111,I115,I116)*100)/($K$23*$K$28*$I$126)</f>
        <v>13.335925095365788</v>
      </c>
      <c r="K129" s="73" t="s">
        <v>127</v>
      </c>
    </row>
    <row r="130" spans="5:11" ht="24.75" customHeight="1">
      <c r="E130" s="83" t="s">
        <v>128</v>
      </c>
      <c r="F130" s="84">
        <v>16</v>
      </c>
      <c r="G130" s="73" t="s">
        <v>129</v>
      </c>
      <c r="H130" s="1" t="s">
        <v>0</v>
      </c>
      <c r="I130" s="76">
        <f>((PI()*F130^2)/4)/100</f>
        <v>2.0106192982974678</v>
      </c>
      <c r="K130" s="73" t="s">
        <v>130</v>
      </c>
    </row>
    <row r="131" spans="4:17" ht="24.75" customHeight="1">
      <c r="D131" s="71" t="s">
        <v>133</v>
      </c>
      <c r="G131" s="1" t="str">
        <f>E130&amp;" "&amp;F130&amp;"  "&amp;Q131&amp;"  "</f>
        <v>DB 16  mm.  </v>
      </c>
      <c r="H131" s="1" t="s">
        <v>131</v>
      </c>
      <c r="I131" s="97">
        <f>I130/I129</f>
        <v>0.1507671409309396</v>
      </c>
      <c r="K131" s="73" t="s">
        <v>93</v>
      </c>
      <c r="Q131" s="71" t="s">
        <v>132</v>
      </c>
    </row>
    <row r="132" spans="7:12" ht="24.75" customHeight="1">
      <c r="G132" s="74" t="s">
        <v>114</v>
      </c>
      <c r="H132" s="1" t="s">
        <v>0</v>
      </c>
      <c r="I132" s="94">
        <v>0.15</v>
      </c>
      <c r="K132" s="73" t="s">
        <v>93</v>
      </c>
      <c r="L132" s="88" t="str">
        <f>IF(I132&lt;I131,"O.K.","FAIL.")</f>
        <v>O.K.</v>
      </c>
    </row>
    <row r="133" spans="4:11" ht="24.75" customHeight="1">
      <c r="D133" s="82" t="s">
        <v>135</v>
      </c>
      <c r="G133" s="71" t="s">
        <v>136</v>
      </c>
      <c r="H133" s="1"/>
      <c r="I133" s="76">
        <f>0.0015*100*I121</f>
        <v>6.75</v>
      </c>
      <c r="K133" s="73" t="s">
        <v>127</v>
      </c>
    </row>
    <row r="134" spans="4:11" ht="24.75" customHeight="1">
      <c r="D134" s="82"/>
      <c r="G134" s="71" t="s">
        <v>138</v>
      </c>
      <c r="H134" s="1"/>
      <c r="I134" s="76">
        <f>IF(K22=3000,((I67*I62)/2)/1500,((I67*I62)/2)/1500)</f>
        <v>6.6424</v>
      </c>
      <c r="K134" s="73" t="s">
        <v>127</v>
      </c>
    </row>
    <row r="135" spans="4:11" ht="24.75" customHeight="1">
      <c r="D135" s="82"/>
      <c r="G135" s="71" t="s">
        <v>166</v>
      </c>
      <c r="H135" s="1"/>
      <c r="I135" s="76">
        <f>(MAX(I112,I113,I117,I118)*100)/($K$23*$K$28*$I$126)</f>
        <v>8.819325883157783</v>
      </c>
      <c r="K135" s="73" t="s">
        <v>127</v>
      </c>
    </row>
    <row r="136" spans="5:11" ht="24.75" customHeight="1">
      <c r="E136" s="83" t="s">
        <v>128</v>
      </c>
      <c r="F136" s="84">
        <v>16</v>
      </c>
      <c r="G136" s="73" t="s">
        <v>129</v>
      </c>
      <c r="H136" s="1" t="s">
        <v>0</v>
      </c>
      <c r="I136" s="76">
        <f>((PI()*F136^2)/4)/100</f>
        <v>2.0106192982974678</v>
      </c>
      <c r="K136" s="73" t="s">
        <v>130</v>
      </c>
    </row>
    <row r="137" spans="4:17" ht="24.75" customHeight="1">
      <c r="D137" s="71" t="s">
        <v>133</v>
      </c>
      <c r="G137" s="1" t="str">
        <f>E136&amp;" "&amp;F136&amp;"  "&amp;Q137&amp;"  "</f>
        <v>DB 16  mm.  </v>
      </c>
      <c r="H137" s="1" t="s">
        <v>131</v>
      </c>
      <c r="I137" s="97">
        <f>I136/MAX(I133,(I134+I135))</f>
        <v>0.13003847781880573</v>
      </c>
      <c r="K137" s="73" t="s">
        <v>93</v>
      </c>
      <c r="Q137" s="71" t="s">
        <v>132</v>
      </c>
    </row>
    <row r="138" spans="7:12" ht="24.75" customHeight="1">
      <c r="G138" s="74" t="s">
        <v>114</v>
      </c>
      <c r="H138" s="1" t="s">
        <v>0</v>
      </c>
      <c r="I138" s="94">
        <v>0.125</v>
      </c>
      <c r="K138" s="73" t="s">
        <v>93</v>
      </c>
      <c r="L138" s="88" t="str">
        <f>IF(I138&lt;I137,"O.K.","FAIL.")</f>
        <v>O.K.</v>
      </c>
    </row>
    <row r="139" spans="5:11" ht="24.75" customHeight="1">
      <c r="E139" s="71" t="s">
        <v>134</v>
      </c>
      <c r="I139" s="76">
        <f>0.06*I130*K22/K13^0.5</f>
        <v>23.361285173608007</v>
      </c>
      <c r="K139" s="73" t="s">
        <v>113</v>
      </c>
    </row>
    <row r="140" ht="24.75" customHeight="1">
      <c r="C140" s="69" t="s">
        <v>139</v>
      </c>
    </row>
    <row r="141" spans="5:11" ht="24.75" customHeight="1">
      <c r="E141" s="71" t="s">
        <v>140</v>
      </c>
      <c r="H141" s="1" t="s">
        <v>0</v>
      </c>
      <c r="I141" s="72">
        <f>((MIN(I60,I61)/20)*(0.4+(K22/7000)))*100</f>
        <v>24.857142857142854</v>
      </c>
      <c r="K141" s="73" t="s">
        <v>113</v>
      </c>
    </row>
    <row r="142" spans="7:12" ht="24.75" customHeight="1">
      <c r="G142" s="74" t="s">
        <v>114</v>
      </c>
      <c r="H142" s="1" t="s">
        <v>0</v>
      </c>
      <c r="I142" s="75">
        <v>40</v>
      </c>
      <c r="K142" s="73" t="s">
        <v>113</v>
      </c>
      <c r="L142" s="88" t="str">
        <f>IF(I142&gt;I141,"O.K.","FAIL.")</f>
        <v>O.K.</v>
      </c>
    </row>
    <row r="143" spans="4:11" ht="24.75" customHeight="1">
      <c r="D143" s="71" t="s">
        <v>115</v>
      </c>
      <c r="F143" s="71" t="s">
        <v>120</v>
      </c>
      <c r="H143" s="1" t="s">
        <v>0</v>
      </c>
      <c r="I143" s="75">
        <v>5</v>
      </c>
      <c r="K143" s="73" t="s">
        <v>113</v>
      </c>
    </row>
    <row r="144" spans="4:11" ht="24.75" customHeight="1">
      <c r="D144" s="71" t="s">
        <v>116</v>
      </c>
      <c r="G144" s="1" t="s">
        <v>119</v>
      </c>
      <c r="H144" s="1" t="s">
        <v>0</v>
      </c>
      <c r="I144" s="76">
        <f>$I$142-$I$143-(1.2/2)</f>
        <v>34.4</v>
      </c>
      <c r="K144" s="73" t="s">
        <v>113</v>
      </c>
    </row>
    <row r="145" spans="4:11" ht="24.75" customHeight="1">
      <c r="D145" s="71" t="s">
        <v>117</v>
      </c>
      <c r="G145" s="1" t="s">
        <v>119</v>
      </c>
      <c r="H145" s="1" t="s">
        <v>0</v>
      </c>
      <c r="I145" s="76">
        <f>$I$142-$I$143-(1.6/2)</f>
        <v>34.2</v>
      </c>
      <c r="K145" s="73" t="s">
        <v>113</v>
      </c>
    </row>
    <row r="146" spans="4:11" ht="24.75" customHeight="1">
      <c r="D146" s="71" t="s">
        <v>118</v>
      </c>
      <c r="G146" s="1" t="s">
        <v>119</v>
      </c>
      <c r="H146" s="1" t="s">
        <v>0</v>
      </c>
      <c r="I146" s="76">
        <f>$I$142-$I$143-(2/2)</f>
        <v>34</v>
      </c>
      <c r="K146" s="73" t="s">
        <v>113</v>
      </c>
    </row>
    <row r="147" spans="6:16" ht="24.75" customHeight="1">
      <c r="F147" s="74"/>
      <c r="G147" s="77" t="s">
        <v>137</v>
      </c>
      <c r="H147" s="1" t="s">
        <v>0</v>
      </c>
      <c r="I147" s="75">
        <f>I144</f>
        <v>34.4</v>
      </c>
      <c r="K147" s="73" t="s">
        <v>113</v>
      </c>
      <c r="P147" s="71" t="s">
        <v>146</v>
      </c>
    </row>
    <row r="148" spans="4:18" ht="24.75" customHeight="1">
      <c r="D148" s="71" t="s">
        <v>143</v>
      </c>
      <c r="I148" s="76">
        <f>((O164+O164+O165+O165)*O166*O167)*2.4+(((O164+O169*2)*(O165+O169*2)*O168)*2.4)+((Q151*O166*O169*I54)/1000)+((O165*O164*O166*I52)/1000)</f>
        <v>462.55679999999995</v>
      </c>
      <c r="K148" s="73" t="s">
        <v>149</v>
      </c>
      <c r="P148" s="71" t="s">
        <v>144</v>
      </c>
      <c r="Q148" s="85">
        <f>I60+(($I121/100))*2+(($I63*2))</f>
        <v>7.5</v>
      </c>
      <c r="R148" s="71" t="s">
        <v>93</v>
      </c>
    </row>
    <row r="149" spans="4:18" ht="24.75" customHeight="1">
      <c r="D149" s="71" t="s">
        <v>213</v>
      </c>
      <c r="E149" s="78">
        <v>0.35</v>
      </c>
      <c r="F149" s="71" t="s">
        <v>212</v>
      </c>
      <c r="I149" s="75">
        <v>35</v>
      </c>
      <c r="K149" s="73" t="s">
        <v>168</v>
      </c>
      <c r="P149" s="71" t="s">
        <v>145</v>
      </c>
      <c r="Q149" s="85">
        <f>I61+((I121/100))*2+((I63*2))</f>
        <v>8.7</v>
      </c>
      <c r="R149" s="71" t="s">
        <v>93</v>
      </c>
    </row>
    <row r="150" spans="7:18" ht="24.75" customHeight="1">
      <c r="G150" s="71" t="s">
        <v>169</v>
      </c>
      <c r="H150" s="1" t="s">
        <v>0</v>
      </c>
      <c r="I150" s="76">
        <f>I148/I149</f>
        <v>13.215908571428571</v>
      </c>
      <c r="K150" s="73" t="s">
        <v>170</v>
      </c>
      <c r="P150" s="71" t="s">
        <v>148</v>
      </c>
      <c r="Q150" s="85">
        <f>(I60+I121/100)*2+(I61+I121/100)*2</f>
        <v>28.200000000000003</v>
      </c>
      <c r="R150" s="71" t="s">
        <v>93</v>
      </c>
    </row>
    <row r="151" spans="7:18" ht="24.75" customHeight="1">
      <c r="G151" s="71" t="s">
        <v>171</v>
      </c>
      <c r="H151" s="1" t="s">
        <v>0</v>
      </c>
      <c r="I151" s="76">
        <f>E149*3</f>
        <v>1.0499999999999998</v>
      </c>
      <c r="K151" s="73" t="s">
        <v>93</v>
      </c>
      <c r="P151" s="71" t="s">
        <v>147</v>
      </c>
      <c r="Q151" s="85">
        <f>(Q148*2)+(Q149-(I63*2))*2</f>
        <v>31.2</v>
      </c>
      <c r="R151" s="71" t="s">
        <v>93</v>
      </c>
    </row>
    <row r="152" spans="7:11" ht="24.75" customHeight="1">
      <c r="G152" s="71" t="s">
        <v>172</v>
      </c>
      <c r="H152" s="1" t="s">
        <v>0</v>
      </c>
      <c r="I152" s="79">
        <v>4</v>
      </c>
      <c r="K152" s="73" t="s">
        <v>170</v>
      </c>
    </row>
    <row r="153" spans="7:11" ht="24.75" customHeight="1">
      <c r="G153" s="71" t="s">
        <v>173</v>
      </c>
      <c r="H153" s="1" t="s">
        <v>0</v>
      </c>
      <c r="I153" s="79">
        <v>4</v>
      </c>
      <c r="K153" s="73" t="s">
        <v>170</v>
      </c>
    </row>
    <row r="154" spans="7:12" ht="24.75" customHeight="1">
      <c r="G154" s="71" t="s">
        <v>174</v>
      </c>
      <c r="H154" s="1" t="s">
        <v>0</v>
      </c>
      <c r="I154" s="80">
        <f>I152*I153</f>
        <v>16</v>
      </c>
      <c r="K154" s="73" t="s">
        <v>170</v>
      </c>
      <c r="L154" s="88" t="str">
        <f>IF(I154&gt;I150,"O.K.","FAIL.")</f>
        <v>O.K.</v>
      </c>
    </row>
    <row r="155" spans="7:11" ht="24.75" customHeight="1">
      <c r="G155" s="74" t="s">
        <v>101</v>
      </c>
      <c r="H155" s="1" t="s">
        <v>0</v>
      </c>
      <c r="I155" s="76">
        <f>I67+2400*I142/100</f>
        <v>6204</v>
      </c>
      <c r="K155" s="4" t="s">
        <v>107</v>
      </c>
    </row>
    <row r="156" spans="7:11" ht="24.75" customHeight="1">
      <c r="G156" s="74" t="s">
        <v>102</v>
      </c>
      <c r="H156" s="1" t="s">
        <v>0</v>
      </c>
      <c r="I156" s="75">
        <v>1.9</v>
      </c>
      <c r="K156" s="4" t="s">
        <v>93</v>
      </c>
    </row>
    <row r="157" spans="7:11" ht="24.75" customHeight="1">
      <c r="G157" s="74" t="s">
        <v>175</v>
      </c>
      <c r="H157" s="1" t="s">
        <v>0</v>
      </c>
      <c r="I157" s="76">
        <f>(I155*I156^2)/8</f>
        <v>2799.555</v>
      </c>
      <c r="K157" s="73" t="s">
        <v>176</v>
      </c>
    </row>
    <row r="158" spans="7:12" ht="24.75" customHeight="1">
      <c r="G158" s="81" t="s">
        <v>121</v>
      </c>
      <c r="H158" s="1" t="s">
        <v>0</v>
      </c>
      <c r="I158" s="76">
        <f>K29*1*I147^2</f>
        <v>9583.369742560591</v>
      </c>
      <c r="K158" s="4" t="s">
        <v>122</v>
      </c>
      <c r="L158" s="88" t="str">
        <f>IF(I158&gt;MAX(I141,I142,I143,I144,I146,I147,I148,I149),"O.K.","FAIL.")</f>
        <v>O.K.</v>
      </c>
    </row>
    <row r="159" spans="4:11" ht="24.75" customHeight="1">
      <c r="D159" s="82"/>
      <c r="G159" s="71" t="s">
        <v>126</v>
      </c>
      <c r="H159" s="1" t="s">
        <v>0</v>
      </c>
      <c r="I159" s="76">
        <f>(I157*100)/($K$23*$K$28*$I$126)</f>
        <v>5.213597443451015</v>
      </c>
      <c r="K159" s="73" t="s">
        <v>127</v>
      </c>
    </row>
    <row r="160" spans="5:11" ht="24.75" customHeight="1">
      <c r="E160" s="83" t="s">
        <v>128</v>
      </c>
      <c r="F160" s="84">
        <v>12</v>
      </c>
      <c r="G160" s="73" t="s">
        <v>129</v>
      </c>
      <c r="H160" s="1" t="s">
        <v>0</v>
      </c>
      <c r="I160" s="76">
        <f>((PI()*F160^2)/4)/100</f>
        <v>1.1309733552923256</v>
      </c>
      <c r="K160" s="73" t="s">
        <v>130</v>
      </c>
    </row>
    <row r="161" spans="4:17" ht="24.75" customHeight="1">
      <c r="D161" s="71" t="s">
        <v>133</v>
      </c>
      <c r="G161" s="1" t="str">
        <f>E160&amp;" "&amp;F160&amp;"  "&amp;Q161&amp;"  "</f>
        <v>DB 12  mm.  </v>
      </c>
      <c r="H161" s="1" t="s">
        <v>131</v>
      </c>
      <c r="I161" s="97">
        <f>I160/I159</f>
        <v>0.2169276334736932</v>
      </c>
      <c r="K161" s="73" t="s">
        <v>93</v>
      </c>
      <c r="Q161" s="71" t="s">
        <v>132</v>
      </c>
    </row>
    <row r="162" spans="7:12" ht="24.75" customHeight="1">
      <c r="G162" s="74" t="s">
        <v>114</v>
      </c>
      <c r="H162" s="1" t="s">
        <v>0</v>
      </c>
      <c r="I162" s="94">
        <v>0.2</v>
      </c>
      <c r="K162" s="73" t="s">
        <v>93</v>
      </c>
      <c r="L162" s="88" t="str">
        <f>IF(I162&lt;I161,"O.K.","FAIL.")</f>
        <v>O.K.</v>
      </c>
    </row>
    <row r="163" ht="24.75" customHeight="1">
      <c r="C163" s="69" t="s">
        <v>177</v>
      </c>
    </row>
    <row r="164" spans="4:15" ht="24.75" customHeight="1">
      <c r="D164" s="82" t="s">
        <v>104</v>
      </c>
      <c r="E164" s="71" t="s">
        <v>178</v>
      </c>
      <c r="N164" s="71" t="s">
        <v>179</v>
      </c>
      <c r="O164" s="70">
        <f>I60</f>
        <v>6</v>
      </c>
    </row>
    <row r="165" spans="7:15" ht="24.75" customHeight="1">
      <c r="G165" s="112" t="s">
        <v>186</v>
      </c>
      <c r="H165" s="112"/>
      <c r="I165" s="76">
        <f>((O164+O164+O165+O165)*O166*O167)*2.4</f>
        <v>108.34559999999999</v>
      </c>
      <c r="K165" s="73" t="s">
        <v>149</v>
      </c>
      <c r="N165" s="71" t="s">
        <v>181</v>
      </c>
      <c r="O165" s="70">
        <f>I61</f>
        <v>7.2</v>
      </c>
    </row>
    <row r="166" spans="7:15" ht="24.75" customHeight="1">
      <c r="G166" s="112" t="s">
        <v>187</v>
      </c>
      <c r="H166" s="112"/>
      <c r="I166" s="85">
        <f>((O164+O169*2)*(O165+O169*2)*O168)*2.4</f>
        <v>49.42079999999999</v>
      </c>
      <c r="K166" s="73" t="s">
        <v>149</v>
      </c>
      <c r="N166" s="71" t="s">
        <v>184</v>
      </c>
      <c r="O166" s="70">
        <f>I62</f>
        <v>3.8</v>
      </c>
    </row>
    <row r="167" spans="7:15" ht="24.75" customHeight="1">
      <c r="G167" s="112" t="s">
        <v>188</v>
      </c>
      <c r="H167" s="112"/>
      <c r="I167" s="76">
        <f>(Q151*O166*O169*I54)/1000</f>
        <v>78.24959999999999</v>
      </c>
      <c r="K167" s="73" t="s">
        <v>149</v>
      </c>
      <c r="N167" s="71" t="s">
        <v>180</v>
      </c>
      <c r="O167" s="76">
        <f>I121/100</f>
        <v>0.45</v>
      </c>
    </row>
    <row r="168" spans="8:15" ht="24.75" customHeight="1">
      <c r="H168" s="82" t="s">
        <v>185</v>
      </c>
      <c r="I168" s="86">
        <f>SUM(I165:I167)</f>
        <v>236.01599999999996</v>
      </c>
      <c r="K168" s="77" t="s">
        <v>149</v>
      </c>
      <c r="N168" s="71" t="s">
        <v>182</v>
      </c>
      <c r="O168" s="85">
        <f>I142/100</f>
        <v>0.4</v>
      </c>
    </row>
    <row r="169" spans="7:15" ht="24.75" customHeight="1">
      <c r="G169" s="112" t="s">
        <v>189</v>
      </c>
      <c r="H169" s="112"/>
      <c r="I169" s="87">
        <f>O164*O165*(O166+O168)*1000/1000</f>
        <v>181.44000000000003</v>
      </c>
      <c r="K169" s="77" t="s">
        <v>149</v>
      </c>
      <c r="N169" s="71" t="s">
        <v>183</v>
      </c>
      <c r="O169" s="70">
        <f>I63</f>
        <v>0.3</v>
      </c>
    </row>
    <row r="170" spans="7:11" ht="24.75" customHeight="1">
      <c r="G170" s="71" t="s">
        <v>190</v>
      </c>
      <c r="I170" s="76">
        <f>I168/I169</f>
        <v>1.3007936507936504</v>
      </c>
      <c r="K170" s="88" t="str">
        <f>IF(I170&gt;1.1,"O.K.","FAIL.")</f>
        <v>O.K.</v>
      </c>
    </row>
    <row r="171" spans="4:5" ht="24.75" customHeight="1">
      <c r="D171" s="82" t="s">
        <v>111</v>
      </c>
      <c r="E171" s="71" t="s">
        <v>195</v>
      </c>
    </row>
    <row r="172" spans="7:11" ht="24.75" customHeight="1">
      <c r="G172" s="112" t="s">
        <v>186</v>
      </c>
      <c r="H172" s="112"/>
      <c r="I172" s="76">
        <f>I165</f>
        <v>108.34559999999999</v>
      </c>
      <c r="K172" s="73" t="s">
        <v>149</v>
      </c>
    </row>
    <row r="173" spans="7:11" ht="24.75" customHeight="1">
      <c r="G173" s="112" t="s">
        <v>187</v>
      </c>
      <c r="H173" s="112"/>
      <c r="I173" s="85">
        <f>I166</f>
        <v>49.42079999999999</v>
      </c>
      <c r="K173" s="73" t="s">
        <v>149</v>
      </c>
    </row>
    <row r="174" spans="8:11" ht="24.75" customHeight="1">
      <c r="H174" s="82" t="s">
        <v>185</v>
      </c>
      <c r="I174" s="86">
        <f>SUM(I172:I173)</f>
        <v>157.76639999999998</v>
      </c>
      <c r="K174" s="77" t="s">
        <v>149</v>
      </c>
    </row>
    <row r="175" spans="7:11" ht="24.75" customHeight="1">
      <c r="G175" s="112" t="s">
        <v>189</v>
      </c>
      <c r="H175" s="112"/>
      <c r="I175" s="87">
        <f>I169</f>
        <v>181.44000000000003</v>
      </c>
      <c r="K175" s="77" t="s">
        <v>149</v>
      </c>
    </row>
    <row r="176" spans="7:11" ht="24.75" customHeight="1">
      <c r="G176" s="71" t="s">
        <v>190</v>
      </c>
      <c r="I176" s="76">
        <f>I174/I175</f>
        <v>0.8695238095238093</v>
      </c>
      <c r="K176" s="88" t="str">
        <f>IF(I176&gt;1.1,"O.K.","FAIL.")</f>
        <v>FAIL.</v>
      </c>
    </row>
    <row r="177" ht="24.75" customHeight="1">
      <c r="G177" s="71" t="s">
        <v>191</v>
      </c>
    </row>
    <row r="178" spans="4:5" ht="24.75" customHeight="1">
      <c r="D178" s="82" t="s">
        <v>192</v>
      </c>
      <c r="E178" s="71" t="s">
        <v>193</v>
      </c>
    </row>
    <row r="179" spans="7:11" ht="24.75" customHeight="1">
      <c r="G179" s="112" t="s">
        <v>186</v>
      </c>
      <c r="H179" s="112"/>
      <c r="I179" s="76">
        <f>I172</f>
        <v>108.34559999999999</v>
      </c>
      <c r="K179" s="73" t="s">
        <v>149</v>
      </c>
    </row>
    <row r="180" spans="7:11" ht="24.75" customHeight="1">
      <c r="G180" s="112" t="s">
        <v>187</v>
      </c>
      <c r="H180" s="112"/>
      <c r="I180" s="85">
        <f>I173</f>
        <v>49.42079999999999</v>
      </c>
      <c r="K180" s="73" t="s">
        <v>149</v>
      </c>
    </row>
    <row r="181" spans="7:11" ht="24.75" customHeight="1">
      <c r="G181" s="73" t="s">
        <v>194</v>
      </c>
      <c r="H181" s="73"/>
      <c r="I181" s="85">
        <f>(O164-O167)*(O165-O167)*O166</f>
        <v>142.3575</v>
      </c>
      <c r="K181" s="73" t="s">
        <v>149</v>
      </c>
    </row>
    <row r="182" spans="8:11" ht="24.75" customHeight="1">
      <c r="H182" s="82" t="s">
        <v>185</v>
      </c>
      <c r="I182" s="86">
        <f>SUM(I179:I181)</f>
        <v>300.12389999999994</v>
      </c>
      <c r="K182" s="77" t="s">
        <v>149</v>
      </c>
    </row>
    <row r="183" spans="7:11" ht="24.75" customHeight="1">
      <c r="G183" s="112" t="s">
        <v>189</v>
      </c>
      <c r="H183" s="112"/>
      <c r="I183" s="87">
        <f>I175</f>
        <v>181.44000000000003</v>
      </c>
      <c r="K183" s="77" t="s">
        <v>149</v>
      </c>
    </row>
    <row r="184" spans="7:11" ht="24.75" customHeight="1">
      <c r="G184" s="71" t="s">
        <v>190</v>
      </c>
      <c r="I184" s="76">
        <f>I182/I183</f>
        <v>1.6541220238095231</v>
      </c>
      <c r="K184" s="88" t="str">
        <f>IF(I184&gt;1.1,"O.K.","FAIL.")</f>
        <v>O.K.</v>
      </c>
    </row>
  </sheetData>
  <sheetProtection password="CC27" sheet="1" objects="1" scenarios="1"/>
  <mergeCells count="17">
    <mergeCell ref="G166:H166"/>
    <mergeCell ref="P12:Q12"/>
    <mergeCell ref="B1:L1"/>
    <mergeCell ref="G180:H180"/>
    <mergeCell ref="G183:H183"/>
    <mergeCell ref="G172:H172"/>
    <mergeCell ref="G173:H173"/>
    <mergeCell ref="G175:H175"/>
    <mergeCell ref="G179:H179"/>
    <mergeCell ref="G169:H169"/>
    <mergeCell ref="G167:H167"/>
    <mergeCell ref="B4:L4"/>
    <mergeCell ref="B5:L5"/>
    <mergeCell ref="B58:L58"/>
    <mergeCell ref="G165:H165"/>
    <mergeCell ref="C71:K71"/>
    <mergeCell ref="C72:K72"/>
  </mergeCells>
  <dataValidations count="1">
    <dataValidation type="list" allowBlank="1" showInputMessage="1" showErrorMessage="1" prompt="ป้อนค่ากำลังรับแรงดึงที่ยอมให้ของเหล็ก&#10;รูปพรรณ  มีให้เลือกใช้ดังนี้&#10;        - 2,400 สำหรับเหล็กเกรด Fe-24&#10;        - 3,000 สำหรับเหล็กเกรด Fe-30" sqref="P14">
      <formula1>$T$6:$T$7</formula1>
    </dataValidation>
  </dataValidations>
  <printOptions/>
  <pageMargins left="0.65" right="0.24" top="0.77" bottom="0.24" header="0.5" footer="0.15"/>
  <pageSetup horizontalDpi="300" verticalDpi="300" orientation="portrait" paperSize="9" scale="85" r:id="rId2"/>
  <rowBreaks count="6" manualBreakCount="6">
    <brk id="34" min="1" max="11" man="1"/>
    <brk id="70" min="1" max="11" man="1"/>
    <brk id="108" min="1" max="11" man="1"/>
    <brk id="139" min="1" max="11" man="1"/>
    <brk id="162" min="1" max="11" man="1"/>
    <brk id="18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4"/>
  <sheetViews>
    <sheetView view="pageBreakPreview" zoomScaleSheetLayoutView="100" workbookViewId="0" topLeftCell="A154">
      <selection activeCell="K164" sqref="K164"/>
    </sheetView>
  </sheetViews>
  <sheetFormatPr defaultColWidth="9.140625" defaultRowHeight="24.75" customHeight="1"/>
  <cols>
    <col min="1" max="1" width="3.57421875" style="18" customWidth="1"/>
    <col min="2" max="2" width="11.00390625" style="18" customWidth="1"/>
    <col min="3" max="3" width="13.00390625" style="18" customWidth="1"/>
    <col min="4" max="5" width="9.140625" style="18" customWidth="1"/>
    <col min="6" max="6" width="13.8515625" style="18" bestFit="1" customWidth="1"/>
    <col min="7" max="7" width="13.00390625" style="18" customWidth="1"/>
    <col min="8" max="8" width="11.8515625" style="18" customWidth="1"/>
    <col min="9" max="9" width="4.7109375" style="18" customWidth="1"/>
    <col min="10" max="10" width="11.28125" style="19" bestFit="1" customWidth="1"/>
    <col min="11" max="11" width="11.7109375" style="18" customWidth="1"/>
    <col min="12" max="12" width="9.140625" style="18" hidden="1" customWidth="1"/>
    <col min="13" max="13" width="11.28125" style="18" hidden="1" customWidth="1"/>
    <col min="14" max="14" width="8.57421875" style="18" hidden="1" customWidth="1"/>
    <col min="15" max="15" width="13.140625" style="18" hidden="1" customWidth="1"/>
    <col min="16" max="21" width="9.140625" style="18" hidden="1" customWidth="1"/>
    <col min="22" max="24" width="0" style="18" hidden="1" customWidth="1"/>
    <col min="25" max="16384" width="9.140625" style="18" customWidth="1"/>
  </cols>
  <sheetData>
    <row r="1" spans="2:11" s="15" customFormat="1" ht="24.75" customHeight="1">
      <c r="B1" s="16" t="s">
        <v>18</v>
      </c>
      <c r="C1" s="59"/>
      <c r="D1" s="59"/>
      <c r="E1" s="59"/>
      <c r="F1" s="59"/>
      <c r="G1" s="16" t="s">
        <v>19</v>
      </c>
      <c r="H1" s="59"/>
      <c r="I1" s="59"/>
      <c r="J1" s="60"/>
      <c r="K1" s="59"/>
    </row>
    <row r="2" spans="2:11" s="15" customFormat="1" ht="24.75" customHeight="1">
      <c r="B2" s="16" t="s">
        <v>20</v>
      </c>
      <c r="C2" s="59"/>
      <c r="D2" s="59"/>
      <c r="E2" s="59"/>
      <c r="F2" s="59"/>
      <c r="G2" s="16" t="s">
        <v>21</v>
      </c>
      <c r="H2" s="17" t="s">
        <v>22</v>
      </c>
      <c r="I2" s="18"/>
      <c r="J2" s="19" t="s">
        <v>167</v>
      </c>
      <c r="K2" s="18"/>
    </row>
    <row r="3" spans="2:11" s="15" customFormat="1" ht="24.75" customHeight="1">
      <c r="B3" s="16" t="s">
        <v>23</v>
      </c>
      <c r="C3" s="59"/>
      <c r="D3" s="59"/>
      <c r="E3" s="59"/>
      <c r="F3" s="59"/>
      <c r="G3" s="16" t="s">
        <v>24</v>
      </c>
      <c r="H3" s="20">
        <f ca="1">NOW()</f>
        <v>39710.417425810185</v>
      </c>
      <c r="I3" s="18"/>
      <c r="J3" s="19"/>
      <c r="K3" s="18"/>
    </row>
    <row r="4" spans="1:11" ht="24.75" customHeight="1">
      <c r="A4" s="115" t="s">
        <v>25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24.75" customHeight="1">
      <c r="A5" s="116" t="s">
        <v>26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ht="24.75" customHeight="1">
      <c r="A6" s="21" t="s">
        <v>27</v>
      </c>
    </row>
    <row r="7" spans="1:2" ht="24.75" customHeight="1">
      <c r="A7" s="22" t="s">
        <v>28</v>
      </c>
      <c r="B7" s="18" t="s">
        <v>29</v>
      </c>
    </row>
    <row r="8" spans="1:2" ht="24.75" customHeight="1">
      <c r="A8" s="22" t="s">
        <v>30</v>
      </c>
      <c r="B8" s="18" t="s">
        <v>31</v>
      </c>
    </row>
    <row r="9" spans="1:2" ht="24.75" customHeight="1">
      <c r="A9" s="22" t="s">
        <v>32</v>
      </c>
      <c r="B9" s="18" t="s">
        <v>15</v>
      </c>
    </row>
    <row r="10" spans="1:2" ht="24.75" customHeight="1">
      <c r="A10" s="22" t="s">
        <v>33</v>
      </c>
      <c r="B10" s="18" t="s">
        <v>16</v>
      </c>
    </row>
    <row r="11" spans="1:2" ht="24.75" customHeight="1">
      <c r="A11" s="22" t="s">
        <v>34</v>
      </c>
      <c r="B11" s="18" t="s">
        <v>17</v>
      </c>
    </row>
    <row r="12" spans="1:16" ht="24.75" customHeight="1">
      <c r="A12" s="21" t="s">
        <v>35</v>
      </c>
      <c r="M12" s="23"/>
      <c r="N12" s="24"/>
      <c r="O12" s="114"/>
      <c r="P12" s="114"/>
    </row>
    <row r="13" spans="2:16" ht="24.75" customHeight="1">
      <c r="B13" s="18" t="s">
        <v>36</v>
      </c>
      <c r="H13" s="18" t="s">
        <v>37</v>
      </c>
      <c r="I13" s="18" t="s">
        <v>0</v>
      </c>
      <c r="J13" s="60">
        <v>250</v>
      </c>
      <c r="K13" s="18" t="s">
        <v>1</v>
      </c>
      <c r="M13" s="23"/>
      <c r="N13" s="24"/>
      <c r="O13" s="25"/>
      <c r="P13" s="26"/>
    </row>
    <row r="14" spans="2:16" ht="24.75" customHeight="1">
      <c r="B14" s="18" t="s">
        <v>38</v>
      </c>
      <c r="G14" s="18" t="s">
        <v>39</v>
      </c>
      <c r="H14" s="18" t="s">
        <v>40</v>
      </c>
      <c r="I14" s="18" t="s">
        <v>0</v>
      </c>
      <c r="J14" s="27">
        <f>IF(0.375*J13&gt;65,65,0.375*J13)</f>
        <v>65</v>
      </c>
      <c r="K14" s="18" t="s">
        <v>1</v>
      </c>
      <c r="M14" s="23"/>
      <c r="N14" s="24"/>
      <c r="O14" s="28"/>
      <c r="P14" s="26"/>
    </row>
    <row r="15" spans="2:16" ht="24.75" customHeight="1">
      <c r="B15" s="18" t="s">
        <v>41</v>
      </c>
      <c r="G15" s="18" t="s">
        <v>42</v>
      </c>
      <c r="H15" s="18" t="s">
        <v>43</v>
      </c>
      <c r="I15" s="18" t="s">
        <v>0</v>
      </c>
      <c r="J15" s="27">
        <f>0.29*($J$13^0.5)</f>
        <v>4.58530260724415</v>
      </c>
      <c r="K15" s="18" t="s">
        <v>1</v>
      </c>
      <c r="M15" s="23"/>
      <c r="N15" s="24"/>
      <c r="O15" s="25"/>
      <c r="P15" s="26"/>
    </row>
    <row r="16" spans="2:16" ht="24.75" customHeight="1">
      <c r="B16" s="18" t="s">
        <v>44</v>
      </c>
      <c r="G16" s="18" t="s">
        <v>45</v>
      </c>
      <c r="H16" s="18" t="s">
        <v>46</v>
      </c>
      <c r="I16" s="18" t="s">
        <v>0</v>
      </c>
      <c r="J16" s="27">
        <f>0.53*($J$13^0.5)</f>
        <v>8.380035799446205</v>
      </c>
      <c r="K16" s="18" t="s">
        <v>1</v>
      </c>
      <c r="M16" s="23"/>
      <c r="N16" s="24"/>
      <c r="O16" s="25"/>
      <c r="P16" s="26"/>
    </row>
    <row r="17" spans="2:16" ht="24.75" customHeight="1">
      <c r="B17" s="18" t="s">
        <v>47</v>
      </c>
      <c r="G17" s="18" t="s">
        <v>48</v>
      </c>
      <c r="H17" s="18" t="s">
        <v>49</v>
      </c>
      <c r="I17" s="18" t="s">
        <v>0</v>
      </c>
      <c r="J17" s="27">
        <f>1.32*($J$13^0.5)</f>
        <v>20.871032557111302</v>
      </c>
      <c r="K17" s="18" t="s">
        <v>1</v>
      </c>
      <c r="M17" s="23"/>
      <c r="N17" s="24"/>
      <c r="O17" s="25"/>
      <c r="P17" s="26"/>
    </row>
    <row r="18" spans="2:11" ht="24.75" customHeight="1">
      <c r="B18" s="18" t="s">
        <v>50</v>
      </c>
      <c r="G18" s="18" t="s">
        <v>51</v>
      </c>
      <c r="H18" s="18" t="s">
        <v>52</v>
      </c>
      <c r="I18" s="18" t="s">
        <v>0</v>
      </c>
      <c r="J18" s="27">
        <f>1.65*($J$13^0.5)</f>
        <v>26.08879069638913</v>
      </c>
      <c r="K18" s="18" t="s">
        <v>1</v>
      </c>
    </row>
    <row r="19" spans="2:11" ht="24.75" customHeight="1">
      <c r="B19" s="18" t="s">
        <v>53</v>
      </c>
      <c r="G19" s="18" t="s">
        <v>54</v>
      </c>
      <c r="H19" s="18" t="s">
        <v>123</v>
      </c>
      <c r="I19" s="18" t="s">
        <v>0</v>
      </c>
      <c r="J19" s="29">
        <f>15100*($J$13^0.5)</f>
        <v>238751.96334271264</v>
      </c>
      <c r="K19" s="18" t="s">
        <v>1</v>
      </c>
    </row>
    <row r="20" ht="24.75" customHeight="1">
      <c r="A20" s="21" t="s">
        <v>55</v>
      </c>
    </row>
    <row r="21" spans="2:11" ht="24.75" customHeight="1">
      <c r="B21" s="18" t="s">
        <v>53</v>
      </c>
      <c r="G21" s="18" t="s">
        <v>56</v>
      </c>
      <c r="H21" s="30"/>
      <c r="I21" s="18" t="s">
        <v>0</v>
      </c>
      <c r="J21" s="30">
        <v>2040000</v>
      </c>
      <c r="K21" s="18" t="s">
        <v>1</v>
      </c>
    </row>
    <row r="22" spans="2:11" ht="24.75" customHeight="1">
      <c r="B22" s="6" t="s">
        <v>3</v>
      </c>
      <c r="C22" s="7"/>
      <c r="D22" s="7"/>
      <c r="E22" s="7"/>
      <c r="F22" s="6"/>
      <c r="G22" s="8" t="s">
        <v>57</v>
      </c>
      <c r="H22" s="3"/>
      <c r="I22" s="18" t="s">
        <v>0</v>
      </c>
      <c r="J22" s="61">
        <v>3000</v>
      </c>
      <c r="K22" s="2" t="s">
        <v>1</v>
      </c>
    </row>
    <row r="23" spans="2:11" ht="24.75" customHeight="1">
      <c r="B23" s="2" t="s">
        <v>2</v>
      </c>
      <c r="C23" s="4"/>
      <c r="D23" s="4"/>
      <c r="E23" s="4"/>
      <c r="F23" s="9" t="str">
        <f>IF(J22&lt;3000,"SR-24",IF(J22=3000,"SD-30",IF(J22&gt;4000,"SD-50","SD-40")))</f>
        <v>SD-30</v>
      </c>
      <c r="G23" s="4" t="s">
        <v>58</v>
      </c>
      <c r="H23" s="3" t="s">
        <v>59</v>
      </c>
      <c r="I23" s="18" t="s">
        <v>0</v>
      </c>
      <c r="J23" s="5">
        <f>IF(J22*0.5&gt;1700,1700,J22*0.5)</f>
        <v>1500</v>
      </c>
      <c r="K23" s="2" t="s">
        <v>1</v>
      </c>
    </row>
    <row r="24" spans="2:11" ht="24.75" customHeight="1">
      <c r="B24" s="6" t="s">
        <v>4</v>
      </c>
      <c r="C24" s="7"/>
      <c r="D24" s="7"/>
      <c r="E24" s="7"/>
      <c r="F24" s="6"/>
      <c r="G24" s="8" t="s">
        <v>60</v>
      </c>
      <c r="H24" s="3"/>
      <c r="I24" s="18" t="s">
        <v>0</v>
      </c>
      <c r="J24" s="61">
        <v>2400</v>
      </c>
      <c r="K24" s="2" t="s">
        <v>1</v>
      </c>
    </row>
    <row r="25" spans="2:17" ht="24.75" customHeight="1">
      <c r="B25" s="2" t="s">
        <v>5</v>
      </c>
      <c r="C25" s="4"/>
      <c r="D25" s="4"/>
      <c r="E25" s="4"/>
      <c r="F25" s="9" t="str">
        <f>IF(J24&lt;3000,"SR-24",IF(J24=3000,"SD-30",IF(J24&gt;4000,"SD-50","SD-40")))</f>
        <v>SR-24</v>
      </c>
      <c r="G25" s="4" t="s">
        <v>58</v>
      </c>
      <c r="H25" s="3" t="s">
        <v>59</v>
      </c>
      <c r="I25" s="18" t="s">
        <v>0</v>
      </c>
      <c r="J25" s="5">
        <f>IF(J24*0.5&gt;1700,1700,J24*0.5)</f>
        <v>1200</v>
      </c>
      <c r="K25" s="2" t="s">
        <v>1</v>
      </c>
      <c r="P25" s="18" t="s">
        <v>61</v>
      </c>
      <c r="Q25" s="18" t="s">
        <v>61</v>
      </c>
    </row>
    <row r="26" spans="2:11" ht="24.75" customHeight="1">
      <c r="B26" s="4"/>
      <c r="C26" s="4"/>
      <c r="D26" s="4"/>
      <c r="E26" s="4"/>
      <c r="F26" s="1" t="s">
        <v>6</v>
      </c>
      <c r="G26" s="31" t="s">
        <v>62</v>
      </c>
      <c r="H26" s="3"/>
      <c r="I26" s="18" t="s">
        <v>0</v>
      </c>
      <c r="J26" s="32">
        <f>J21/J19</f>
        <v>8.544432353302641</v>
      </c>
      <c r="K26" s="4"/>
    </row>
    <row r="27" spans="2:11" ht="24.75" customHeight="1">
      <c r="B27" s="4" t="s">
        <v>7</v>
      </c>
      <c r="C27" s="4"/>
      <c r="D27" s="11"/>
      <c r="E27" s="4"/>
      <c r="F27" s="12" t="s">
        <v>11</v>
      </c>
      <c r="G27" s="11" t="s">
        <v>8</v>
      </c>
      <c r="H27" s="3"/>
      <c r="I27" s="18" t="s">
        <v>0</v>
      </c>
      <c r="J27" s="14">
        <f>1/(1+(J23/(J26*J14)))</f>
        <v>0.2702108191458272</v>
      </c>
      <c r="K27" s="4"/>
    </row>
    <row r="28" spans="2:11" ht="24.75" customHeight="1">
      <c r="B28" s="4"/>
      <c r="C28" s="4"/>
      <c r="D28" s="11"/>
      <c r="E28" s="4"/>
      <c r="F28" s="12" t="s">
        <v>12</v>
      </c>
      <c r="G28" s="11" t="s">
        <v>9</v>
      </c>
      <c r="H28" s="3"/>
      <c r="I28" s="18" t="s">
        <v>0</v>
      </c>
      <c r="J28" s="10">
        <f>1-(J27/3)</f>
        <v>0.909929726951391</v>
      </c>
      <c r="K28" s="4"/>
    </row>
    <row r="29" spans="2:11" ht="24.75" customHeight="1">
      <c r="B29" s="4"/>
      <c r="C29" s="4"/>
      <c r="D29" s="11"/>
      <c r="E29" s="4"/>
      <c r="F29" s="13" t="s">
        <v>13</v>
      </c>
      <c r="G29" s="11" t="s">
        <v>10</v>
      </c>
      <c r="H29" s="3"/>
      <c r="I29" s="18" t="s">
        <v>0</v>
      </c>
      <c r="J29" s="10">
        <f>0.5*J14*J27*J28</f>
        <v>7.990867848751912</v>
      </c>
      <c r="K29" s="2" t="s">
        <v>1</v>
      </c>
    </row>
    <row r="30" spans="2:11" ht="24.75" customHeight="1">
      <c r="B30" s="4"/>
      <c r="C30" s="4"/>
      <c r="D30" s="4"/>
      <c r="E30" s="4"/>
      <c r="F30" s="4"/>
      <c r="G30" s="4"/>
      <c r="H30" s="4"/>
      <c r="I30" s="18" t="s">
        <v>0</v>
      </c>
      <c r="J30" s="1"/>
      <c r="K30" s="4"/>
    </row>
    <row r="31" spans="2:11" ht="24.75" customHeight="1">
      <c r="B31" s="4" t="s">
        <v>14</v>
      </c>
      <c r="C31" s="4"/>
      <c r="D31" s="4"/>
      <c r="E31" s="4"/>
      <c r="F31" s="12" t="s">
        <v>11</v>
      </c>
      <c r="G31" s="11" t="s">
        <v>8</v>
      </c>
      <c r="H31" s="3"/>
      <c r="I31" s="18" t="s">
        <v>0</v>
      </c>
      <c r="J31" s="14">
        <f>1/(1+(J25/(J26*J14)))</f>
        <v>0.31639049052837814</v>
      </c>
      <c r="K31" s="4"/>
    </row>
    <row r="32" spans="2:11" ht="24.75" customHeight="1">
      <c r="B32" s="4"/>
      <c r="C32" s="4"/>
      <c r="D32" s="4"/>
      <c r="E32" s="4"/>
      <c r="F32" s="12" t="s">
        <v>12</v>
      </c>
      <c r="G32" s="11" t="s">
        <v>9</v>
      </c>
      <c r="H32" s="3"/>
      <c r="I32" s="18" t="s">
        <v>0</v>
      </c>
      <c r="J32" s="10">
        <f>1-(J31/3)</f>
        <v>0.8945365031572072</v>
      </c>
      <c r="K32" s="4"/>
    </row>
    <row r="33" spans="2:11" ht="24.75" customHeight="1">
      <c r="B33" s="4"/>
      <c r="C33" s="4"/>
      <c r="D33" s="4"/>
      <c r="E33" s="4"/>
      <c r="F33" s="13" t="s">
        <v>13</v>
      </c>
      <c r="G33" s="11" t="s">
        <v>10</v>
      </c>
      <c r="H33" s="3"/>
      <c r="I33" s="18" t="s">
        <v>0</v>
      </c>
      <c r="J33" s="10">
        <f>0.5*J14*J31*J32</f>
        <v>9.198242398457088</v>
      </c>
      <c r="K33" s="2" t="s">
        <v>1</v>
      </c>
    </row>
    <row r="34" spans="1:2" ht="8.25" customHeight="1">
      <c r="A34" s="21"/>
      <c r="B34" s="21"/>
    </row>
    <row r="35" spans="2:6" ht="24.75" customHeight="1">
      <c r="B35" s="33" t="s">
        <v>63</v>
      </c>
      <c r="C35" s="24"/>
      <c r="D35" s="34" t="s">
        <v>64</v>
      </c>
      <c r="E35" s="34"/>
      <c r="F35" s="35"/>
    </row>
    <row r="36" spans="2:6" ht="24.75" customHeight="1">
      <c r="B36" s="36"/>
      <c r="C36" s="24"/>
      <c r="D36" s="34" t="s">
        <v>65</v>
      </c>
      <c r="F36" s="30"/>
    </row>
    <row r="37" spans="2:6" ht="8.25" customHeight="1">
      <c r="B37" s="36"/>
      <c r="C37" s="24"/>
      <c r="F37" s="30"/>
    </row>
    <row r="38" spans="2:6" ht="24.75" customHeight="1">
      <c r="B38" s="33" t="s">
        <v>66</v>
      </c>
      <c r="C38" s="24"/>
      <c r="D38" s="18" t="s">
        <v>67</v>
      </c>
      <c r="F38" s="30"/>
    </row>
    <row r="39" spans="2:6" ht="6.75" customHeight="1">
      <c r="B39" s="36"/>
      <c r="C39" s="24"/>
      <c r="F39" s="30"/>
    </row>
    <row r="40" spans="2:9" ht="24.75" customHeight="1">
      <c r="B40" s="33" t="s">
        <v>68</v>
      </c>
      <c r="C40" s="24"/>
      <c r="D40" s="18" t="s">
        <v>69</v>
      </c>
      <c r="H40" s="30"/>
      <c r="I40" s="2"/>
    </row>
    <row r="41" spans="5:8" ht="24.75" customHeight="1">
      <c r="E41" s="18" t="s">
        <v>70</v>
      </c>
      <c r="F41" s="30">
        <v>2400</v>
      </c>
      <c r="G41" s="2" t="s">
        <v>1</v>
      </c>
      <c r="H41" s="18" t="s">
        <v>71</v>
      </c>
    </row>
    <row r="42" spans="5:8" ht="24.75" customHeight="1">
      <c r="E42" s="18" t="s">
        <v>70</v>
      </c>
      <c r="F42" s="30">
        <v>2200</v>
      </c>
      <c r="G42" s="2" t="s">
        <v>1</v>
      </c>
      <c r="H42" s="18" t="s">
        <v>72</v>
      </c>
    </row>
    <row r="43" ht="24.75" customHeight="1">
      <c r="D43" s="18" t="s">
        <v>73</v>
      </c>
    </row>
    <row r="44" spans="5:7" ht="24.75" customHeight="1">
      <c r="E44" s="18" t="s">
        <v>70</v>
      </c>
      <c r="F44" s="30">
        <v>700</v>
      </c>
      <c r="G44" s="2" t="s">
        <v>1</v>
      </c>
    </row>
    <row r="45" ht="7.5" customHeight="1"/>
    <row r="46" spans="2:4" ht="24.75" customHeight="1">
      <c r="B46" s="33" t="s">
        <v>74</v>
      </c>
      <c r="D46" s="18" t="s">
        <v>75</v>
      </c>
    </row>
    <row r="47" ht="6.75" customHeight="1"/>
    <row r="48" spans="2:11" ht="24.75" customHeight="1">
      <c r="B48" s="33" t="s">
        <v>76</v>
      </c>
      <c r="D48" s="18" t="s">
        <v>83</v>
      </c>
      <c r="G48" s="19" t="s">
        <v>0</v>
      </c>
      <c r="H48" s="30">
        <v>200</v>
      </c>
      <c r="I48" s="42"/>
      <c r="J48" s="42" t="s">
        <v>106</v>
      </c>
      <c r="K48" s="42"/>
    </row>
    <row r="49" spans="8:11" ht="8.25" customHeight="1">
      <c r="H49" s="30"/>
      <c r="I49" s="19"/>
      <c r="K49" s="19"/>
    </row>
    <row r="50" spans="2:11" ht="24.75" customHeight="1">
      <c r="B50" s="33" t="s">
        <v>77</v>
      </c>
      <c r="D50" s="18" t="s">
        <v>78</v>
      </c>
      <c r="G50" s="19" t="s">
        <v>0</v>
      </c>
      <c r="H50" s="30">
        <v>2400</v>
      </c>
      <c r="I50" s="42"/>
      <c r="J50" s="42" t="s">
        <v>108</v>
      </c>
      <c r="K50" s="42"/>
    </row>
    <row r="51" spans="4:11" ht="24.75" customHeight="1">
      <c r="D51" s="18" t="s">
        <v>79</v>
      </c>
      <c r="G51" s="19" t="s">
        <v>0</v>
      </c>
      <c r="H51" s="30">
        <v>1000</v>
      </c>
      <c r="I51" s="42"/>
      <c r="J51" s="42" t="s">
        <v>108</v>
      </c>
      <c r="K51" s="42"/>
    </row>
    <row r="52" spans="4:11" ht="24.75" customHeight="1">
      <c r="D52" s="18" t="s">
        <v>82</v>
      </c>
      <c r="G52" s="19" t="s">
        <v>0</v>
      </c>
      <c r="H52" s="30">
        <v>1380</v>
      </c>
      <c r="I52" s="42"/>
      <c r="J52" s="42" t="s">
        <v>108</v>
      </c>
      <c r="K52" s="42"/>
    </row>
    <row r="53" spans="4:11" ht="24.75" customHeight="1">
      <c r="D53" s="18" t="s">
        <v>80</v>
      </c>
      <c r="G53" s="19" t="s">
        <v>0</v>
      </c>
      <c r="H53" s="30">
        <v>1900</v>
      </c>
      <c r="I53" s="42"/>
      <c r="J53" s="42" t="s">
        <v>108</v>
      </c>
      <c r="K53" s="42"/>
    </row>
    <row r="54" spans="4:11" ht="24.75" customHeight="1">
      <c r="D54" s="18" t="s">
        <v>81</v>
      </c>
      <c r="G54" s="19" t="s">
        <v>0</v>
      </c>
      <c r="H54" s="30">
        <v>2200</v>
      </c>
      <c r="I54" s="42"/>
      <c r="J54" s="42" t="s">
        <v>108</v>
      </c>
      <c r="K54" s="42"/>
    </row>
    <row r="55" spans="4:11" ht="24.75" customHeight="1">
      <c r="D55" s="18" t="s">
        <v>84</v>
      </c>
      <c r="G55" s="19" t="s">
        <v>0</v>
      </c>
      <c r="H55" s="30">
        <v>1000</v>
      </c>
      <c r="I55" s="42"/>
      <c r="J55" s="42" t="s">
        <v>106</v>
      </c>
      <c r="K55" s="42"/>
    </row>
    <row r="56" spans="2:11" ht="24.75" customHeight="1">
      <c r="B56" s="33" t="s">
        <v>85</v>
      </c>
      <c r="F56" s="19" t="s">
        <v>94</v>
      </c>
      <c r="G56" s="19" t="s">
        <v>0</v>
      </c>
      <c r="H56" s="18">
        <v>20</v>
      </c>
      <c r="I56" s="42" t="s">
        <v>86</v>
      </c>
      <c r="J56" s="42" t="s">
        <v>109</v>
      </c>
      <c r="K56" s="42"/>
    </row>
    <row r="58" spans="1:11" ht="24.75" customHeight="1">
      <c r="A58" s="117" t="s">
        <v>87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2:4" ht="24.75" customHeight="1">
      <c r="B59" s="39" t="s">
        <v>90</v>
      </c>
      <c r="D59" s="40"/>
    </row>
    <row r="60" spans="4:10" ht="24.75" customHeight="1">
      <c r="D60" s="18" t="s">
        <v>89</v>
      </c>
      <c r="F60" s="43" t="s">
        <v>101</v>
      </c>
      <c r="G60" s="19" t="s">
        <v>0</v>
      </c>
      <c r="H60" s="62">
        <v>6</v>
      </c>
      <c r="J60" s="38" t="s">
        <v>93</v>
      </c>
    </row>
    <row r="61" spans="4:10" ht="24.75" customHeight="1">
      <c r="D61" s="18" t="s">
        <v>91</v>
      </c>
      <c r="F61" s="43" t="s">
        <v>102</v>
      </c>
      <c r="G61" s="19" t="s">
        <v>0</v>
      </c>
      <c r="H61" s="62">
        <v>7.1</v>
      </c>
      <c r="J61" s="38" t="s">
        <v>93</v>
      </c>
    </row>
    <row r="62" spans="4:10" ht="24.75" customHeight="1">
      <c r="D62" s="18" t="s">
        <v>92</v>
      </c>
      <c r="F62" s="43" t="s">
        <v>103</v>
      </c>
      <c r="G62" s="19" t="s">
        <v>0</v>
      </c>
      <c r="H62" s="62">
        <v>4.2</v>
      </c>
      <c r="J62" s="38" t="s">
        <v>93</v>
      </c>
    </row>
    <row r="63" spans="4:10" ht="24.75" customHeight="1">
      <c r="D63" s="18" t="s">
        <v>141</v>
      </c>
      <c r="F63" s="43" t="s">
        <v>142</v>
      </c>
      <c r="G63" s="19" t="s">
        <v>0</v>
      </c>
      <c r="H63" s="62">
        <v>0.3</v>
      </c>
      <c r="J63" s="38" t="s">
        <v>93</v>
      </c>
    </row>
    <row r="64" ht="24.75" customHeight="1">
      <c r="B64" s="53" t="s">
        <v>88</v>
      </c>
    </row>
    <row r="65" spans="4:10" ht="24.75" customHeight="1">
      <c r="D65" s="18" t="s">
        <v>95</v>
      </c>
      <c r="F65" s="41"/>
      <c r="G65" s="19" t="s">
        <v>0</v>
      </c>
      <c r="H65" s="44">
        <f>(1-(SIN(22*H56/(180*7))))/(1+(SIN(22*H56/(180*7))))</f>
        <v>0.4901440024448583</v>
      </c>
      <c r="J65" s="38"/>
    </row>
    <row r="66" spans="3:12" ht="24.75" customHeight="1">
      <c r="C66" s="18" t="s">
        <v>79</v>
      </c>
      <c r="D66" s="18" t="s">
        <v>96</v>
      </c>
      <c r="G66" s="19" t="s">
        <v>0</v>
      </c>
      <c r="H66" s="46">
        <f>H55*H62</f>
        <v>4200</v>
      </c>
      <c r="J66" s="42" t="s">
        <v>106</v>
      </c>
      <c r="K66" s="42"/>
      <c r="L66" s="42"/>
    </row>
    <row r="67" spans="3:11" ht="24.75" customHeight="1">
      <c r="C67" s="18" t="s">
        <v>82</v>
      </c>
      <c r="D67" s="18" t="s">
        <v>97</v>
      </c>
      <c r="G67" s="19" t="s">
        <v>0</v>
      </c>
      <c r="H67" s="45">
        <f>H52*H62</f>
        <v>5796</v>
      </c>
      <c r="J67" s="42" t="s">
        <v>106</v>
      </c>
      <c r="K67" s="42"/>
    </row>
    <row r="68" spans="3:11" ht="24.75" customHeight="1">
      <c r="C68" s="18" t="s">
        <v>80</v>
      </c>
      <c r="D68" s="18" t="s">
        <v>98</v>
      </c>
      <c r="G68" s="19" t="s">
        <v>0</v>
      </c>
      <c r="H68" s="45">
        <f>H53*H62*H65</f>
        <v>3911.349139509969</v>
      </c>
      <c r="J68" s="42" t="s">
        <v>107</v>
      </c>
      <c r="K68" s="42"/>
    </row>
    <row r="69" spans="3:11" ht="24.75" customHeight="1">
      <c r="C69" s="18" t="s">
        <v>81</v>
      </c>
      <c r="D69" s="18" t="s">
        <v>100</v>
      </c>
      <c r="G69" s="19" t="s">
        <v>0</v>
      </c>
      <c r="H69" s="46">
        <f>H65*(H54-H55)*H62</f>
        <v>2470.325772322086</v>
      </c>
      <c r="J69" s="42" t="s">
        <v>107</v>
      </c>
      <c r="K69" s="42"/>
    </row>
    <row r="70" spans="3:11" ht="24.75" customHeight="1">
      <c r="C70" s="18" t="s">
        <v>84</v>
      </c>
      <c r="D70" s="18" t="s">
        <v>99</v>
      </c>
      <c r="G70" s="19" t="s">
        <v>0</v>
      </c>
      <c r="H70" s="46">
        <f>H55*H65</f>
        <v>490.1440024448583</v>
      </c>
      <c r="J70" s="42" t="s">
        <v>107</v>
      </c>
      <c r="K70" s="42"/>
    </row>
    <row r="71" spans="2:10" ht="23.25" customHeight="1">
      <c r="B71" s="116" t="s">
        <v>150</v>
      </c>
      <c r="C71" s="116"/>
      <c r="D71" s="116"/>
      <c r="E71" s="116"/>
      <c r="F71" s="116"/>
      <c r="G71" s="116"/>
      <c r="H71" s="116"/>
      <c r="I71" s="116"/>
      <c r="J71" s="116"/>
    </row>
    <row r="72" spans="2:10" ht="18" customHeight="1">
      <c r="B72" s="118"/>
      <c r="C72" s="118"/>
      <c r="D72" s="118"/>
      <c r="E72" s="118"/>
      <c r="F72" s="118"/>
      <c r="G72" s="118"/>
      <c r="H72" s="118"/>
      <c r="I72" s="118"/>
      <c r="J72" s="118"/>
    </row>
    <row r="73" ht="23.25">
      <c r="J73" s="18"/>
    </row>
    <row r="74" ht="23.25">
      <c r="J74" s="18"/>
    </row>
    <row r="75" ht="23.25">
      <c r="J75" s="18"/>
    </row>
    <row r="76" ht="23.25">
      <c r="J76" s="18"/>
    </row>
    <row r="77" ht="23.25">
      <c r="J77" s="18"/>
    </row>
    <row r="78" ht="23.25">
      <c r="J78" s="18"/>
    </row>
    <row r="79" ht="23.25">
      <c r="J79" s="18"/>
    </row>
    <row r="80" ht="23.25">
      <c r="J80" s="18"/>
    </row>
    <row r="81" ht="23.25">
      <c r="J81" s="18"/>
    </row>
    <row r="82" ht="23.25">
      <c r="J82" s="18"/>
    </row>
    <row r="83" ht="23.25">
      <c r="J83" s="18"/>
    </row>
    <row r="84" ht="23.25">
      <c r="J84" s="18"/>
    </row>
    <row r="85" ht="23.25">
      <c r="J85" s="18"/>
    </row>
    <row r="86" ht="23.25">
      <c r="J86" s="18"/>
    </row>
    <row r="87" ht="23.25">
      <c r="J87" s="18"/>
    </row>
    <row r="88" ht="23.25">
      <c r="J88" s="18"/>
    </row>
    <row r="89" ht="23.25">
      <c r="J89" s="18"/>
    </row>
    <row r="90" ht="23.25">
      <c r="J90" s="18"/>
    </row>
    <row r="91" ht="23.25">
      <c r="J91" s="18"/>
    </row>
    <row r="92" ht="23.25">
      <c r="J92" s="18"/>
    </row>
    <row r="93" ht="23.25">
      <c r="J93" s="18"/>
    </row>
    <row r="94" ht="23.25">
      <c r="J94" s="18"/>
    </row>
    <row r="95" ht="23.25">
      <c r="J95" s="18"/>
    </row>
    <row r="96" ht="23.25">
      <c r="J96" s="18"/>
    </row>
    <row r="97" ht="23.25">
      <c r="J97" s="18"/>
    </row>
    <row r="98" ht="23.25">
      <c r="J98" s="18"/>
    </row>
    <row r="99" ht="23.25">
      <c r="J99" s="18"/>
    </row>
    <row r="100" ht="23.25">
      <c r="J100" s="18"/>
    </row>
    <row r="101" ht="23.25">
      <c r="J101" s="18"/>
    </row>
    <row r="102" ht="23.25">
      <c r="J102" s="18"/>
    </row>
    <row r="103" spans="2:10" ht="23.25">
      <c r="B103" s="18" t="s">
        <v>151</v>
      </c>
      <c r="J103" s="18"/>
    </row>
    <row r="104" spans="5:10" ht="24.75" customHeight="1">
      <c r="E104" s="37"/>
      <c r="F104" s="52" t="s">
        <v>11</v>
      </c>
      <c r="G104" s="19" t="s">
        <v>0</v>
      </c>
      <c r="H104" s="50">
        <f>H61/H62</f>
        <v>1.6904761904761902</v>
      </c>
      <c r="J104" s="38" t="s">
        <v>113</v>
      </c>
    </row>
    <row r="105" spans="2:10" ht="24.75" customHeight="1">
      <c r="B105" s="18" t="s">
        <v>156</v>
      </c>
      <c r="E105" s="37"/>
      <c r="F105" s="52" t="s">
        <v>152</v>
      </c>
      <c r="G105" s="19" t="s">
        <v>0</v>
      </c>
      <c r="H105" s="63">
        <v>0.076</v>
      </c>
      <c r="J105" s="38"/>
    </row>
    <row r="106" spans="2:10" ht="24.75" customHeight="1">
      <c r="B106" s="18" t="s">
        <v>157</v>
      </c>
      <c r="E106" s="37"/>
      <c r="F106" s="52" t="s">
        <v>153</v>
      </c>
      <c r="G106" s="19" t="s">
        <v>0</v>
      </c>
      <c r="H106" s="63">
        <v>0.014</v>
      </c>
      <c r="J106" s="38"/>
    </row>
    <row r="107" spans="2:10" ht="24.75" customHeight="1">
      <c r="B107" s="18" t="s">
        <v>158</v>
      </c>
      <c r="E107" s="37"/>
      <c r="F107" s="52" t="s">
        <v>154</v>
      </c>
      <c r="G107" s="19" t="s">
        <v>0</v>
      </c>
      <c r="H107" s="63">
        <v>0.016</v>
      </c>
      <c r="J107" s="38"/>
    </row>
    <row r="108" spans="2:10" ht="24.75" customHeight="1">
      <c r="B108" s="18" t="s">
        <v>159</v>
      </c>
      <c r="E108" s="37"/>
      <c r="F108" s="52" t="s">
        <v>155</v>
      </c>
      <c r="G108" s="19" t="s">
        <v>0</v>
      </c>
      <c r="H108" s="63">
        <v>0.004</v>
      </c>
      <c r="J108" s="38"/>
    </row>
    <row r="109" spans="2:3" ht="24.75" customHeight="1">
      <c r="B109" s="39" t="s">
        <v>104</v>
      </c>
      <c r="C109" s="18" t="s">
        <v>105</v>
      </c>
    </row>
    <row r="110" spans="6:10" ht="24.75" customHeight="1">
      <c r="F110" s="37" t="s">
        <v>160</v>
      </c>
      <c r="G110" s="19" t="s">
        <v>0</v>
      </c>
      <c r="H110" s="50">
        <f>H105*$H$67*$H$62^2</f>
        <v>7770.34944</v>
      </c>
      <c r="J110" s="38" t="s">
        <v>176</v>
      </c>
    </row>
    <row r="111" spans="6:10" ht="24.75" customHeight="1">
      <c r="F111" s="37" t="s">
        <v>162</v>
      </c>
      <c r="G111" s="19" t="s">
        <v>0</v>
      </c>
      <c r="H111" s="50">
        <f>H107*$H$67*$H$62^2</f>
        <v>1635.8630400000002</v>
      </c>
      <c r="J111" s="38" t="s">
        <v>176</v>
      </c>
    </row>
    <row r="112" spans="6:10" ht="24.75" customHeight="1">
      <c r="F112" s="37" t="s">
        <v>161</v>
      </c>
      <c r="G112" s="19" t="s">
        <v>0</v>
      </c>
      <c r="H112" s="50">
        <f>H106*$H$67*$H$61^2</f>
        <v>4090.46904</v>
      </c>
      <c r="J112" s="38" t="s">
        <v>176</v>
      </c>
    </row>
    <row r="113" spans="6:10" ht="24.75" customHeight="1">
      <c r="F113" s="37" t="s">
        <v>163</v>
      </c>
      <c r="G113" s="19" t="s">
        <v>0</v>
      </c>
      <c r="H113" s="50">
        <f>H108*$H$67*$H$61^2</f>
        <v>1168.70544</v>
      </c>
      <c r="J113" s="38" t="s">
        <v>176</v>
      </c>
    </row>
    <row r="114" spans="2:13" ht="24.75" customHeight="1">
      <c r="B114" s="39" t="s">
        <v>111</v>
      </c>
      <c r="C114" s="18" t="s">
        <v>110</v>
      </c>
      <c r="J114" s="38"/>
      <c r="M114" s="47">
        <f>H66+H69+H70</f>
        <v>7160.469774766944</v>
      </c>
    </row>
    <row r="115" spans="6:10" ht="24.75" customHeight="1">
      <c r="F115" s="37" t="s">
        <v>160</v>
      </c>
      <c r="G115" s="19" t="s">
        <v>0</v>
      </c>
      <c r="H115" s="50">
        <f>H105*$M$114*$H$62^2</f>
        <v>9599.612198843555</v>
      </c>
      <c r="J115" s="38" t="s">
        <v>176</v>
      </c>
    </row>
    <row r="116" spans="6:10" ht="24.75" customHeight="1">
      <c r="F116" s="37" t="s">
        <v>162</v>
      </c>
      <c r="G116" s="19" t="s">
        <v>0</v>
      </c>
      <c r="H116" s="50">
        <f>H107*$M$114*$H$62^2</f>
        <v>2020.9709892302226</v>
      </c>
      <c r="J116" s="38" t="s">
        <v>176</v>
      </c>
    </row>
    <row r="117" spans="6:10" ht="24.75" customHeight="1">
      <c r="F117" s="37" t="s">
        <v>161</v>
      </c>
      <c r="G117" s="19" t="s">
        <v>0</v>
      </c>
      <c r="H117" s="50">
        <f>H106*$M$114*$H$61^2</f>
        <v>5053.429938844023</v>
      </c>
      <c r="J117" s="38" t="s">
        <v>176</v>
      </c>
    </row>
    <row r="118" spans="6:10" ht="24.75" customHeight="1">
      <c r="F118" s="37" t="s">
        <v>163</v>
      </c>
      <c r="G118" s="19" t="s">
        <v>0</v>
      </c>
      <c r="H118" s="50">
        <f>H108*$M$114*$H$62^2</f>
        <v>505.24274730755565</v>
      </c>
      <c r="J118" s="38" t="s">
        <v>176</v>
      </c>
    </row>
    <row r="119" spans="3:10" ht="24.75" customHeight="1">
      <c r="C119" s="18" t="s">
        <v>112</v>
      </c>
      <c r="D119" s="18" t="s">
        <v>164</v>
      </c>
      <c r="G119" s="19" t="s">
        <v>0</v>
      </c>
      <c r="H119" s="51">
        <f>SQRT((MAX(H110,H111,H112,H113,H115,H116,H117,H118)*100)/(J29*100))</f>
        <v>34.6601046970379</v>
      </c>
      <c r="J119" s="38" t="s">
        <v>113</v>
      </c>
    </row>
    <row r="120" spans="3:11" ht="24.75" customHeight="1">
      <c r="C120" s="18" t="s">
        <v>165</v>
      </c>
      <c r="G120" s="19" t="s">
        <v>0</v>
      </c>
      <c r="H120" s="51">
        <f>(MAX(H110,H111,H112,H113,H115,H116,H117,H118)*100*(H121/2))/((100*H121^3)/12)</f>
        <v>28.443295403980905</v>
      </c>
      <c r="J120" s="38" t="s">
        <v>1</v>
      </c>
      <c r="K120" s="49" t="str">
        <f>IF(1.99*J13^0.5&gt;H120,"O.K.","FAIL")</f>
        <v>O.K.</v>
      </c>
    </row>
    <row r="121" spans="6:10" ht="24.75" customHeight="1">
      <c r="F121" s="37" t="s">
        <v>114</v>
      </c>
      <c r="G121" s="19" t="s">
        <v>0</v>
      </c>
      <c r="H121" s="64">
        <v>45</v>
      </c>
      <c r="J121" s="38" t="s">
        <v>113</v>
      </c>
    </row>
    <row r="122" spans="3:10" ht="24.75" customHeight="1">
      <c r="C122" s="18" t="s">
        <v>115</v>
      </c>
      <c r="E122" s="18" t="s">
        <v>120</v>
      </c>
      <c r="G122" s="19" t="s">
        <v>0</v>
      </c>
      <c r="H122" s="64">
        <v>4.5</v>
      </c>
      <c r="J122" s="38" t="s">
        <v>113</v>
      </c>
    </row>
    <row r="123" spans="3:10" ht="24.75" customHeight="1">
      <c r="C123" s="18" t="s">
        <v>116</v>
      </c>
      <c r="F123" s="19" t="s">
        <v>119</v>
      </c>
      <c r="G123" s="19" t="s">
        <v>0</v>
      </c>
      <c r="H123" s="50">
        <f>$H$121-$H$122-1.2/2</f>
        <v>39.9</v>
      </c>
      <c r="J123" s="38" t="s">
        <v>113</v>
      </c>
    </row>
    <row r="124" spans="3:10" ht="24.75" customHeight="1">
      <c r="C124" s="18" t="s">
        <v>117</v>
      </c>
      <c r="F124" s="19" t="s">
        <v>119</v>
      </c>
      <c r="G124" s="19" t="s">
        <v>0</v>
      </c>
      <c r="H124" s="50">
        <f>$H$121-$H$122-1.6/2</f>
        <v>39.7</v>
      </c>
      <c r="J124" s="38" t="s">
        <v>113</v>
      </c>
    </row>
    <row r="125" spans="3:10" ht="24.75" customHeight="1">
      <c r="C125" s="18" t="s">
        <v>118</v>
      </c>
      <c r="F125" s="19" t="s">
        <v>119</v>
      </c>
      <c r="G125" s="19" t="s">
        <v>0</v>
      </c>
      <c r="H125" s="50">
        <f>$H$121-$H$122-2/2</f>
        <v>39.5</v>
      </c>
      <c r="J125" s="38" t="s">
        <v>113</v>
      </c>
    </row>
    <row r="126" spans="5:10" ht="24.75" customHeight="1">
      <c r="E126" s="37"/>
      <c r="F126" s="52" t="s">
        <v>137</v>
      </c>
      <c r="G126" s="19" t="s">
        <v>0</v>
      </c>
      <c r="H126" s="64">
        <f>H125</f>
        <v>39.5</v>
      </c>
      <c r="J126" s="38" t="s">
        <v>113</v>
      </c>
    </row>
    <row r="127" spans="6:11" ht="24.75" customHeight="1">
      <c r="F127" s="48" t="s">
        <v>121</v>
      </c>
      <c r="G127" s="19" t="s">
        <v>0</v>
      </c>
      <c r="H127" s="50">
        <f>J29*1*H126^2</f>
        <v>12467.751561015171</v>
      </c>
      <c r="J127" s="42" t="s">
        <v>122</v>
      </c>
      <c r="K127" s="49" t="str">
        <f>IF(H127&gt;MAX(H110,H111,H112,H113,H115,H116,H117,H118),"O.K.","FAIL.")</f>
        <v>O.K.</v>
      </c>
    </row>
    <row r="128" ht="24.75" customHeight="1">
      <c r="C128" s="55" t="s">
        <v>124</v>
      </c>
    </row>
    <row r="129" spans="3:10" ht="24.75" customHeight="1">
      <c r="C129" s="39" t="s">
        <v>125</v>
      </c>
      <c r="F129" s="18" t="s">
        <v>126</v>
      </c>
      <c r="G129" s="19" t="s">
        <v>0</v>
      </c>
      <c r="H129" s="50">
        <f>(MAX(H110,H111,H115,H116)*100)/($J$23*$J$28*$H$126)</f>
        <v>17.805635588071514</v>
      </c>
      <c r="J129" s="38" t="s">
        <v>127</v>
      </c>
    </row>
    <row r="130" spans="4:10" ht="24.75" customHeight="1">
      <c r="D130" s="43" t="s">
        <v>128</v>
      </c>
      <c r="E130" s="60">
        <v>16</v>
      </c>
      <c r="F130" s="38" t="s">
        <v>129</v>
      </c>
      <c r="G130" s="19" t="s">
        <v>0</v>
      </c>
      <c r="H130" s="50">
        <f>((PI()*E130^2)/4)/100</f>
        <v>2.0106192982974678</v>
      </c>
      <c r="J130" s="38" t="s">
        <v>130</v>
      </c>
    </row>
    <row r="131" spans="3:16" ht="24.75" customHeight="1">
      <c r="C131" s="18" t="s">
        <v>133</v>
      </c>
      <c r="F131" s="19" t="str">
        <f>D130&amp;" "&amp;E130&amp;"  "&amp;P131&amp;"  "</f>
        <v>DB 16  mm.  </v>
      </c>
      <c r="G131" s="19" t="s">
        <v>131</v>
      </c>
      <c r="H131" s="51">
        <f>H130/H129</f>
        <v>0.11292038907302118</v>
      </c>
      <c r="J131" s="38" t="s">
        <v>93</v>
      </c>
      <c r="P131" s="18" t="s">
        <v>132</v>
      </c>
    </row>
    <row r="132" spans="6:11" ht="24.75" customHeight="1">
      <c r="F132" s="37" t="s">
        <v>114</v>
      </c>
      <c r="G132" s="19" t="s">
        <v>0</v>
      </c>
      <c r="H132" s="64">
        <v>0.1</v>
      </c>
      <c r="J132" s="38" t="s">
        <v>93</v>
      </c>
      <c r="K132" s="49" t="str">
        <f>IF(H132&lt;H131,"O.K.","FAIL.")</f>
        <v>O.K.</v>
      </c>
    </row>
    <row r="133" spans="3:10" ht="24.75" customHeight="1">
      <c r="C133" s="39" t="s">
        <v>135</v>
      </c>
      <c r="F133" s="18" t="s">
        <v>136</v>
      </c>
      <c r="G133" s="19"/>
      <c r="H133" s="50">
        <f>0.0015*100*H121</f>
        <v>6.75</v>
      </c>
      <c r="J133" s="38" t="s">
        <v>127</v>
      </c>
    </row>
    <row r="134" spans="3:10" ht="24.75" customHeight="1">
      <c r="C134" s="39"/>
      <c r="F134" s="18" t="s">
        <v>138</v>
      </c>
      <c r="G134" s="19"/>
      <c r="H134" s="50">
        <f>((H67*H62)/2)/1300</f>
        <v>9.362769230769231</v>
      </c>
      <c r="J134" s="38" t="s">
        <v>127</v>
      </c>
    </row>
    <row r="135" spans="3:10" ht="24.75" customHeight="1">
      <c r="C135" s="39"/>
      <c r="F135" s="18" t="s">
        <v>166</v>
      </c>
      <c r="G135" s="19"/>
      <c r="H135" s="50">
        <f>(MAX(H112,H113,H117,H118)*100)/($J$23*$J$28*$H$126)</f>
        <v>9.37324655382921</v>
      </c>
      <c r="J135" s="38" t="s">
        <v>127</v>
      </c>
    </row>
    <row r="136" spans="4:10" ht="24.75" customHeight="1">
      <c r="D136" s="43" t="s">
        <v>128</v>
      </c>
      <c r="E136" s="60">
        <v>16</v>
      </c>
      <c r="F136" s="38" t="s">
        <v>129</v>
      </c>
      <c r="G136" s="19" t="s">
        <v>0</v>
      </c>
      <c r="H136" s="50">
        <f>((PI()*E136^2)/4)/100</f>
        <v>2.0106192982974678</v>
      </c>
      <c r="J136" s="38" t="s">
        <v>130</v>
      </c>
    </row>
    <row r="137" spans="3:16" ht="24.75" customHeight="1">
      <c r="C137" s="18" t="s">
        <v>133</v>
      </c>
      <c r="F137" s="19" t="str">
        <f>D136&amp;" "&amp;E136&amp;"  "&amp;P137&amp;"  "</f>
        <v>DB 16  mm.  </v>
      </c>
      <c r="G137" s="19" t="s">
        <v>131</v>
      </c>
      <c r="H137" s="51">
        <f>H136/MAX(H133,(H134+H135))</f>
        <v>0.10731306599080985</v>
      </c>
      <c r="J137" s="38" t="s">
        <v>93</v>
      </c>
      <c r="P137" s="18" t="s">
        <v>132</v>
      </c>
    </row>
    <row r="138" spans="6:11" ht="24.75" customHeight="1">
      <c r="F138" s="37" t="s">
        <v>114</v>
      </c>
      <c r="G138" s="19" t="s">
        <v>0</v>
      </c>
      <c r="H138" s="64">
        <v>0.1</v>
      </c>
      <c r="J138" s="38" t="s">
        <v>93</v>
      </c>
      <c r="K138" s="49" t="str">
        <f>IF(H138&lt;H137,"O.K.","FAIL.")</f>
        <v>O.K.</v>
      </c>
    </row>
    <row r="139" spans="4:10" ht="24.75" customHeight="1">
      <c r="D139" s="18" t="s">
        <v>134</v>
      </c>
      <c r="H139" s="50">
        <f>0.06*H130*J22/J13^0.5</f>
        <v>22.88929136439422</v>
      </c>
      <c r="J139" s="38" t="s">
        <v>113</v>
      </c>
    </row>
    <row r="140" ht="24.75" customHeight="1">
      <c r="B140" s="53" t="s">
        <v>139</v>
      </c>
    </row>
    <row r="141" spans="4:10" ht="24.75" customHeight="1">
      <c r="D141" s="18" t="s">
        <v>140</v>
      </c>
      <c r="G141" s="19" t="s">
        <v>0</v>
      </c>
      <c r="H141" s="51">
        <f>((MIN(H60,H61)/20)*(0.4+(J22/7000)))*100</f>
        <v>24.857142857142854</v>
      </c>
      <c r="J141" s="38" t="s">
        <v>113</v>
      </c>
    </row>
    <row r="142" spans="6:11" ht="24.75" customHeight="1">
      <c r="F142" s="37" t="s">
        <v>114</v>
      </c>
      <c r="G142" s="19" t="s">
        <v>0</v>
      </c>
      <c r="H142" s="64">
        <v>40</v>
      </c>
      <c r="J142" s="38" t="s">
        <v>113</v>
      </c>
      <c r="K142" s="49" t="str">
        <f>IF(H142&gt;H141,"O.K.","FAIL.")</f>
        <v>O.K.</v>
      </c>
    </row>
    <row r="143" spans="3:10" ht="24.75" customHeight="1">
      <c r="C143" s="18" t="s">
        <v>115</v>
      </c>
      <c r="E143" s="18" t="s">
        <v>120</v>
      </c>
      <c r="G143" s="19" t="s">
        <v>0</v>
      </c>
      <c r="H143" s="64">
        <v>4.5</v>
      </c>
      <c r="J143" s="38" t="s">
        <v>113</v>
      </c>
    </row>
    <row r="144" spans="3:10" ht="24.75" customHeight="1">
      <c r="C144" s="18" t="s">
        <v>116</v>
      </c>
      <c r="F144" s="19" t="s">
        <v>119</v>
      </c>
      <c r="G144" s="19" t="s">
        <v>0</v>
      </c>
      <c r="H144" s="50">
        <f>$H$142-$H$143-(1.2/2)</f>
        <v>34.9</v>
      </c>
      <c r="J144" s="38" t="s">
        <v>113</v>
      </c>
    </row>
    <row r="145" spans="3:10" ht="24.75" customHeight="1">
      <c r="C145" s="18" t="s">
        <v>117</v>
      </c>
      <c r="F145" s="19" t="s">
        <v>119</v>
      </c>
      <c r="G145" s="19" t="s">
        <v>0</v>
      </c>
      <c r="H145" s="50">
        <f>$H$142-$H$143-(1.6/2)</f>
        <v>34.7</v>
      </c>
      <c r="J145" s="38" t="s">
        <v>113</v>
      </c>
    </row>
    <row r="146" spans="3:10" ht="24.75" customHeight="1">
      <c r="C146" s="18" t="s">
        <v>118</v>
      </c>
      <c r="F146" s="19" t="s">
        <v>119</v>
      </c>
      <c r="G146" s="19" t="s">
        <v>0</v>
      </c>
      <c r="H146" s="50">
        <f>$H$142-$H$143-(2/2)</f>
        <v>34.5</v>
      </c>
      <c r="J146" s="38" t="s">
        <v>113</v>
      </c>
    </row>
    <row r="147" spans="5:15" ht="24.75" customHeight="1">
      <c r="E147" s="37"/>
      <c r="F147" s="52" t="s">
        <v>137</v>
      </c>
      <c r="G147" s="19" t="s">
        <v>0</v>
      </c>
      <c r="H147" s="64">
        <f>H145</f>
        <v>34.7</v>
      </c>
      <c r="J147" s="38" t="s">
        <v>113</v>
      </c>
      <c r="O147" s="18" t="s">
        <v>146</v>
      </c>
    </row>
    <row r="148" spans="3:10" ht="24.75" customHeight="1">
      <c r="C148" s="39" t="s">
        <v>196</v>
      </c>
      <c r="E148" s="37"/>
      <c r="F148" s="52"/>
      <c r="G148" s="19"/>
      <c r="H148" s="64"/>
      <c r="J148" s="38"/>
    </row>
    <row r="149" spans="6:17" ht="24.75" customHeight="1">
      <c r="F149" s="18" t="s">
        <v>197</v>
      </c>
      <c r="G149" s="19" t="s">
        <v>0</v>
      </c>
      <c r="H149" s="50">
        <f>((H61+H63*2)*N178*1*2.4)/((H61+H63*2))</f>
        <v>0.96</v>
      </c>
      <c r="J149" s="38" t="s">
        <v>199</v>
      </c>
      <c r="O149" s="18" t="s">
        <v>144</v>
      </c>
      <c r="P149" s="47">
        <f>H60+(($H121/100))*2+(($H63*2))</f>
        <v>7.5</v>
      </c>
      <c r="Q149" s="18" t="s">
        <v>93</v>
      </c>
    </row>
    <row r="150" spans="6:17" ht="24.75" customHeight="1">
      <c r="F150" s="18" t="s">
        <v>198</v>
      </c>
      <c r="G150" s="19" t="s">
        <v>0</v>
      </c>
      <c r="H150" s="50">
        <f>(2*1*N177*N176*2.4)/2</f>
        <v>4.5360000000000005</v>
      </c>
      <c r="J150" s="38" t="s">
        <v>200</v>
      </c>
      <c r="O150" s="18" t="s">
        <v>145</v>
      </c>
      <c r="P150" s="47">
        <f>H61+((H121/100))*2+((H63*2))</f>
        <v>8.6</v>
      </c>
      <c r="Q150" s="18" t="s">
        <v>93</v>
      </c>
    </row>
    <row r="151" spans="6:17" ht="24.75" customHeight="1">
      <c r="F151" s="18" t="s">
        <v>79</v>
      </c>
      <c r="G151" s="19" t="s">
        <v>0</v>
      </c>
      <c r="H151" s="50">
        <f>1*(N175-N177-N177)*N176</f>
        <v>26.04</v>
      </c>
      <c r="J151" s="38" t="s">
        <v>149</v>
      </c>
      <c r="O151" s="18" t="s">
        <v>148</v>
      </c>
      <c r="P151" s="47">
        <f>(H60+H121/100)*2+(H61+H121/100)*2</f>
        <v>28</v>
      </c>
      <c r="Q151" s="18" t="s">
        <v>93</v>
      </c>
    </row>
    <row r="152" spans="2:17" ht="24.75" customHeight="1">
      <c r="B152" s="39" t="s">
        <v>104</v>
      </c>
      <c r="C152" s="18" t="s">
        <v>201</v>
      </c>
      <c r="G152" s="19"/>
      <c r="H152" s="50"/>
      <c r="J152" s="38"/>
      <c r="O152" s="18" t="s">
        <v>147</v>
      </c>
      <c r="P152" s="47">
        <f>(P149*2)+(P150-(H63*2))*2</f>
        <v>31</v>
      </c>
      <c r="Q152" s="18" t="s">
        <v>93</v>
      </c>
    </row>
    <row r="153" spans="6:10" ht="24.75" customHeight="1">
      <c r="F153" s="18" t="s">
        <v>202</v>
      </c>
      <c r="G153" s="19" t="s">
        <v>0</v>
      </c>
      <c r="H153" s="35">
        <f>((((H61+H63*2)*N178*1*2.4)+((2*1*N177*N176*2.4))))/((H61+H63*2))</f>
        <v>2.138181818181818</v>
      </c>
      <c r="J153" s="38" t="s">
        <v>199</v>
      </c>
    </row>
    <row r="154" spans="6:10" ht="24.75" customHeight="1">
      <c r="F154" s="18" t="s">
        <v>203</v>
      </c>
      <c r="G154" s="19" t="s">
        <v>0</v>
      </c>
      <c r="H154" s="35">
        <f>H153-H149</f>
        <v>1.1781818181818182</v>
      </c>
      <c r="J154" s="38" t="s">
        <v>199</v>
      </c>
    </row>
    <row r="155" spans="5:11" ht="24.75" customHeight="1">
      <c r="E155" s="18" t="s">
        <v>205</v>
      </c>
      <c r="F155" s="37" t="s">
        <v>207</v>
      </c>
      <c r="G155" s="19" t="s">
        <v>0</v>
      </c>
      <c r="H155" s="65">
        <f>(H154*(N175-N177)^2)/8</f>
        <v>6.51276818181818</v>
      </c>
      <c r="J155" s="38" t="s">
        <v>208</v>
      </c>
      <c r="K155" s="49"/>
    </row>
    <row r="156" spans="5:10" ht="24.75" customHeight="1">
      <c r="E156" s="18" t="s">
        <v>206</v>
      </c>
      <c r="F156" s="37" t="s">
        <v>207</v>
      </c>
      <c r="G156" s="19" t="s">
        <v>0</v>
      </c>
      <c r="H156" s="50">
        <f>(H154*(N179+(N177/2))^2)/2</f>
        <v>0.16236818181818183</v>
      </c>
      <c r="J156" s="38" t="s">
        <v>208</v>
      </c>
    </row>
    <row r="157" spans="6:11" ht="24.75" customHeight="1">
      <c r="F157" s="54" t="s">
        <v>121</v>
      </c>
      <c r="G157" s="19" t="s">
        <v>0</v>
      </c>
      <c r="H157" s="50">
        <f>J29*1*H147^2</f>
        <v>9621.72406800369</v>
      </c>
      <c r="J157" s="42" t="s">
        <v>122</v>
      </c>
      <c r="K157" s="49" t="str">
        <f>IF(H157&gt;MAX((H155*1000),(H156*1000)),"O.K.","FAIL.")</f>
        <v>O.K.</v>
      </c>
    </row>
    <row r="158" spans="3:10" ht="24.75" customHeight="1">
      <c r="C158" s="39"/>
      <c r="F158" s="18" t="s">
        <v>126</v>
      </c>
      <c r="G158" s="19" t="s">
        <v>0</v>
      </c>
      <c r="H158" s="50">
        <f>(MAX((H155*1000),(H156*1000))*100)/($J$23*$J$28*H147)</f>
        <v>13.751087092938265</v>
      </c>
      <c r="J158" s="38" t="s">
        <v>127</v>
      </c>
    </row>
    <row r="159" spans="4:10" ht="24.75" customHeight="1">
      <c r="D159" s="43" t="s">
        <v>128</v>
      </c>
      <c r="E159" s="60">
        <v>16</v>
      </c>
      <c r="F159" s="38" t="s">
        <v>129</v>
      </c>
      <c r="G159" s="19" t="s">
        <v>0</v>
      </c>
      <c r="H159" s="50">
        <f>((PI()*E159^2)/4)/100</f>
        <v>2.0106192982974678</v>
      </c>
      <c r="J159" s="38" t="s">
        <v>130</v>
      </c>
    </row>
    <row r="160" spans="3:16" ht="24.75" customHeight="1">
      <c r="C160" s="18" t="s">
        <v>133</v>
      </c>
      <c r="F160" s="19" t="str">
        <f>D159&amp;" "&amp;E159&amp;"  "&amp;P160&amp;"  "</f>
        <v>DB 16  mm.  </v>
      </c>
      <c r="G160" s="19" t="s">
        <v>131</v>
      </c>
      <c r="H160" s="51">
        <f>H159/H158</f>
        <v>0.14621529808577835</v>
      </c>
      <c r="J160" s="38" t="s">
        <v>93</v>
      </c>
      <c r="P160" s="18" t="s">
        <v>132</v>
      </c>
    </row>
    <row r="161" spans="6:11" ht="24.75" customHeight="1">
      <c r="F161" s="37" t="s">
        <v>114</v>
      </c>
      <c r="G161" s="19" t="s">
        <v>0</v>
      </c>
      <c r="H161" s="64">
        <v>0.15</v>
      </c>
      <c r="J161" s="38" t="s">
        <v>93</v>
      </c>
      <c r="K161" s="49" t="str">
        <f>IF(H161&lt;H160,"O.K.","FAIL.")</f>
        <v>FAIL.</v>
      </c>
    </row>
    <row r="162" spans="2:16" ht="24.75" customHeight="1">
      <c r="B162" s="39" t="s">
        <v>111</v>
      </c>
      <c r="C162" s="18" t="s">
        <v>209</v>
      </c>
      <c r="G162" s="19"/>
      <c r="H162" s="50"/>
      <c r="J162" s="38"/>
      <c r="P162" s="47"/>
    </row>
    <row r="163" spans="6:10" ht="24.75" customHeight="1">
      <c r="F163" s="18" t="s">
        <v>202</v>
      </c>
      <c r="G163" s="19" t="s">
        <v>0</v>
      </c>
      <c r="H163" s="35">
        <f>(((((H61+H63*2)*N178*1*2.4)+((2*1*N177*N176*2.4))))+(H151))/((H61+H63*2))</f>
        <v>5.5200000000000005</v>
      </c>
      <c r="J163" s="38" t="s">
        <v>199</v>
      </c>
    </row>
    <row r="164" spans="5:13" ht="24.75" customHeight="1">
      <c r="E164" s="18" t="s">
        <v>205</v>
      </c>
      <c r="F164" s="18" t="s">
        <v>203</v>
      </c>
      <c r="G164" s="19" t="s">
        <v>0</v>
      </c>
      <c r="H164" s="35">
        <f>H163-H149-M164</f>
        <v>1.1781818181818187</v>
      </c>
      <c r="J164" s="38" t="s">
        <v>199</v>
      </c>
      <c r="K164" s="18" t="s">
        <v>204</v>
      </c>
      <c r="M164" s="18">
        <f>(H151/((H61+H63*2)))</f>
        <v>3.381818181818182</v>
      </c>
    </row>
    <row r="165" spans="5:11" ht="24.75" customHeight="1">
      <c r="E165" s="18" t="s">
        <v>210</v>
      </c>
      <c r="F165" s="18" t="s">
        <v>203</v>
      </c>
      <c r="G165" s="19" t="s">
        <v>0</v>
      </c>
      <c r="H165" s="35">
        <f>H163-H149</f>
        <v>4.5600000000000005</v>
      </c>
      <c r="J165" s="38" t="s">
        <v>199</v>
      </c>
      <c r="K165" s="18" t="s">
        <v>211</v>
      </c>
    </row>
    <row r="166" spans="5:11" ht="24.75" customHeight="1">
      <c r="E166" s="18" t="s">
        <v>205</v>
      </c>
      <c r="F166" s="37" t="s">
        <v>207</v>
      </c>
      <c r="G166" s="19" t="s">
        <v>0</v>
      </c>
      <c r="H166" s="65">
        <f>(H164*(N175-N177)^2)/8</f>
        <v>6.512768181818183</v>
      </c>
      <c r="J166" s="38" t="s">
        <v>208</v>
      </c>
      <c r="K166" s="49"/>
    </row>
    <row r="167" spans="5:10" ht="24.75" customHeight="1">
      <c r="E167" s="18" t="s">
        <v>206</v>
      </c>
      <c r="F167" s="37" t="s">
        <v>207</v>
      </c>
      <c r="G167" s="19" t="s">
        <v>0</v>
      </c>
      <c r="H167" s="50">
        <f>(H165*(N179+(N177/2))^2)/2</f>
        <v>0.6284250000000001</v>
      </c>
      <c r="J167" s="38" t="s">
        <v>208</v>
      </c>
    </row>
    <row r="168" spans="6:11" ht="24.75" customHeight="1">
      <c r="F168" s="54" t="s">
        <v>121</v>
      </c>
      <c r="G168" s="19" t="s">
        <v>0</v>
      </c>
      <c r="H168" s="50">
        <f>J29*1*H147^2</f>
        <v>9621.72406800369</v>
      </c>
      <c r="J168" s="42" t="s">
        <v>122</v>
      </c>
      <c r="K168" s="49" t="str">
        <f>IF(H168&gt;MAX((H166*1000),(H167*1000)),"O.K.","FAIL.")</f>
        <v>O.K.</v>
      </c>
    </row>
    <row r="169" spans="3:10" ht="24.75" customHeight="1">
      <c r="C169" s="39"/>
      <c r="F169" s="18" t="s">
        <v>126</v>
      </c>
      <c r="G169" s="19" t="s">
        <v>0</v>
      </c>
      <c r="H169" s="50">
        <f>(MAX((H166*1000),(H167*1000))*100)/($J$23*$J$28*H147)</f>
        <v>13.75108709293827</v>
      </c>
      <c r="J169" s="38" t="s">
        <v>127</v>
      </c>
    </row>
    <row r="170" spans="4:10" ht="24.75" customHeight="1">
      <c r="D170" s="43" t="s">
        <v>128</v>
      </c>
      <c r="E170" s="60">
        <v>16</v>
      </c>
      <c r="F170" s="38" t="s">
        <v>129</v>
      </c>
      <c r="G170" s="19" t="s">
        <v>0</v>
      </c>
      <c r="H170" s="50">
        <f>((PI()*E170^2)/4)/100</f>
        <v>2.0106192982974678</v>
      </c>
      <c r="J170" s="38" t="s">
        <v>130</v>
      </c>
    </row>
    <row r="171" spans="3:16" ht="24.75" customHeight="1">
      <c r="C171" s="18" t="s">
        <v>133</v>
      </c>
      <c r="F171" s="19" t="str">
        <f>D170&amp;" "&amp;E170&amp;"  "&amp;P171&amp;"  "</f>
        <v>DB 16  mm.  </v>
      </c>
      <c r="G171" s="19" t="s">
        <v>131</v>
      </c>
      <c r="H171" s="66">
        <f>H170/H169</f>
        <v>0.1462152980857783</v>
      </c>
      <c r="J171" s="38" t="s">
        <v>93</v>
      </c>
      <c r="P171" s="18" t="s">
        <v>132</v>
      </c>
    </row>
    <row r="172" spans="6:11" ht="24.75" customHeight="1">
      <c r="F172" s="37" t="s">
        <v>114</v>
      </c>
      <c r="G172" s="19" t="s">
        <v>0</v>
      </c>
      <c r="H172" s="67">
        <v>0.15</v>
      </c>
      <c r="J172" s="38" t="s">
        <v>93</v>
      </c>
      <c r="K172" s="49" t="str">
        <f>IF(H172&lt;H171,"O.K.","FAIL.")</f>
        <v>FAIL.</v>
      </c>
    </row>
    <row r="173" ht="24.75" customHeight="1">
      <c r="B173" s="53" t="s">
        <v>177</v>
      </c>
    </row>
    <row r="174" spans="3:14" ht="24.75" customHeight="1">
      <c r="C174" s="39" t="s">
        <v>104</v>
      </c>
      <c r="D174" s="18" t="s">
        <v>178</v>
      </c>
      <c r="M174" s="18" t="s">
        <v>179</v>
      </c>
      <c r="N174" s="56">
        <f>H60</f>
        <v>6</v>
      </c>
    </row>
    <row r="175" spans="6:14" ht="24.75" customHeight="1">
      <c r="F175" s="119" t="s">
        <v>186</v>
      </c>
      <c r="G175" s="119"/>
      <c r="H175" s="50">
        <f>((N174+N174+N175+N175)*N176*N177)*2.4</f>
        <v>118.84320000000001</v>
      </c>
      <c r="J175" s="38" t="s">
        <v>149</v>
      </c>
      <c r="M175" s="18" t="s">
        <v>181</v>
      </c>
      <c r="N175" s="56">
        <f>H61</f>
        <v>7.1</v>
      </c>
    </row>
    <row r="176" spans="6:14" ht="24.75" customHeight="1">
      <c r="F176" s="119" t="s">
        <v>187</v>
      </c>
      <c r="G176" s="119"/>
      <c r="H176" s="47">
        <f>((N174+N179*2)*(N175+N179*2)*N178)*2.4</f>
        <v>48.7872</v>
      </c>
      <c r="J176" s="38" t="s">
        <v>149</v>
      </c>
      <c r="M176" s="18" t="s">
        <v>184</v>
      </c>
      <c r="N176" s="56">
        <f>H62</f>
        <v>4.2</v>
      </c>
    </row>
    <row r="177" spans="6:14" ht="24.75" customHeight="1">
      <c r="F177" s="119" t="s">
        <v>188</v>
      </c>
      <c r="G177" s="119"/>
      <c r="H177" s="50">
        <f>(P152*N176*N179*H54)/1000</f>
        <v>85.932</v>
      </c>
      <c r="J177" s="38" t="s">
        <v>149</v>
      </c>
      <c r="M177" s="18" t="s">
        <v>180</v>
      </c>
      <c r="N177" s="50">
        <f>H121/100</f>
        <v>0.45</v>
      </c>
    </row>
    <row r="178" spans="7:14" ht="24.75" customHeight="1">
      <c r="G178" s="39" t="s">
        <v>185</v>
      </c>
      <c r="H178" s="57">
        <f>SUM(H175:H177)</f>
        <v>253.56240000000003</v>
      </c>
      <c r="J178" s="52" t="s">
        <v>149</v>
      </c>
      <c r="M178" s="18" t="s">
        <v>182</v>
      </c>
      <c r="N178" s="47">
        <f>H142/100</f>
        <v>0.4</v>
      </c>
    </row>
    <row r="179" spans="6:14" ht="24.75" customHeight="1">
      <c r="F179" s="119" t="s">
        <v>189</v>
      </c>
      <c r="G179" s="119"/>
      <c r="H179" s="58">
        <f>N174*N175*(N176+N178)*1000/1000</f>
        <v>195.96</v>
      </c>
      <c r="J179" s="52" t="s">
        <v>149</v>
      </c>
      <c r="M179" s="18" t="s">
        <v>183</v>
      </c>
      <c r="N179" s="56">
        <f>H63</f>
        <v>0.3</v>
      </c>
    </row>
    <row r="180" spans="6:10" ht="24.75" customHeight="1">
      <c r="F180" s="18" t="s">
        <v>190</v>
      </c>
      <c r="H180" s="50">
        <f>H178/H179</f>
        <v>1.293949785670545</v>
      </c>
      <c r="J180" s="49" t="str">
        <f>IF(H180&gt;1.1,"O.K.","FAIL.")</f>
        <v>O.K.</v>
      </c>
    </row>
    <row r="181" spans="3:4" ht="24.75" customHeight="1">
      <c r="C181" s="39" t="s">
        <v>111</v>
      </c>
      <c r="D181" s="18" t="s">
        <v>195</v>
      </c>
    </row>
    <row r="182" spans="6:10" ht="24.75" customHeight="1">
      <c r="F182" s="119" t="s">
        <v>186</v>
      </c>
      <c r="G182" s="119"/>
      <c r="H182" s="50">
        <f>H175</f>
        <v>118.84320000000001</v>
      </c>
      <c r="J182" s="38" t="s">
        <v>149</v>
      </c>
    </row>
    <row r="183" spans="6:10" ht="24.75" customHeight="1">
      <c r="F183" s="119" t="s">
        <v>187</v>
      </c>
      <c r="G183" s="119"/>
      <c r="H183" s="47">
        <f>H176</f>
        <v>48.7872</v>
      </c>
      <c r="J183" s="38" t="s">
        <v>149</v>
      </c>
    </row>
    <row r="184" spans="7:10" ht="24.75" customHeight="1">
      <c r="G184" s="39" t="s">
        <v>185</v>
      </c>
      <c r="H184" s="57">
        <f>SUM(H182:H183)</f>
        <v>167.6304</v>
      </c>
      <c r="J184" s="52" t="s">
        <v>149</v>
      </c>
    </row>
    <row r="185" spans="6:10" ht="24.75" customHeight="1">
      <c r="F185" s="119" t="s">
        <v>189</v>
      </c>
      <c r="G185" s="119"/>
      <c r="H185" s="58">
        <f>H179</f>
        <v>195.96</v>
      </c>
      <c r="J185" s="52" t="s">
        <v>149</v>
      </c>
    </row>
    <row r="186" spans="6:10" ht="24.75" customHeight="1">
      <c r="F186" s="18" t="s">
        <v>190</v>
      </c>
      <c r="H186" s="50">
        <f>H184/H185</f>
        <v>0.8554317207593386</v>
      </c>
      <c r="J186" s="49" t="str">
        <f>IF(H186&gt;1.1,"O.K.","FAIL.")</f>
        <v>FAIL.</v>
      </c>
    </row>
    <row r="187" ht="24.75" customHeight="1">
      <c r="F187" s="18" t="s">
        <v>191</v>
      </c>
    </row>
    <row r="188" spans="3:4" ht="24.75" customHeight="1">
      <c r="C188" s="39" t="s">
        <v>192</v>
      </c>
      <c r="D188" s="18" t="s">
        <v>193</v>
      </c>
    </row>
    <row r="189" spans="6:10" ht="24.75" customHeight="1">
      <c r="F189" s="119" t="s">
        <v>186</v>
      </c>
      <c r="G189" s="119"/>
      <c r="H189" s="50">
        <f>H182</f>
        <v>118.84320000000001</v>
      </c>
      <c r="J189" s="38" t="s">
        <v>149</v>
      </c>
    </row>
    <row r="190" spans="6:10" ht="24.75" customHeight="1">
      <c r="F190" s="119" t="s">
        <v>187</v>
      </c>
      <c r="G190" s="119"/>
      <c r="H190" s="47">
        <f>H183</f>
        <v>48.7872</v>
      </c>
      <c r="J190" s="38" t="s">
        <v>149</v>
      </c>
    </row>
    <row r="191" spans="6:10" ht="24.75" customHeight="1">
      <c r="F191" s="38" t="s">
        <v>194</v>
      </c>
      <c r="G191" s="38"/>
      <c r="H191" s="47">
        <f>(N174-N177)*(N175-N177)*N176</f>
        <v>155.0115</v>
      </c>
      <c r="J191" s="38" t="s">
        <v>149</v>
      </c>
    </row>
    <row r="192" spans="7:10" ht="24.75" customHeight="1">
      <c r="G192" s="39" t="s">
        <v>185</v>
      </c>
      <c r="H192" s="57">
        <f>SUM(H189:H191)</f>
        <v>322.6419</v>
      </c>
      <c r="J192" s="52" t="s">
        <v>149</v>
      </c>
    </row>
    <row r="193" spans="6:10" ht="24.75" customHeight="1">
      <c r="F193" s="119" t="s">
        <v>189</v>
      </c>
      <c r="G193" s="119"/>
      <c r="H193" s="58">
        <f>H185</f>
        <v>195.96</v>
      </c>
      <c r="J193" s="52" t="s">
        <v>149</v>
      </c>
    </row>
    <row r="194" spans="6:10" ht="24.75" customHeight="1">
      <c r="F194" s="18" t="s">
        <v>190</v>
      </c>
      <c r="H194" s="50">
        <f>H192/H193</f>
        <v>1.6464681567666872</v>
      </c>
      <c r="J194" s="49" t="str">
        <f>IF(H194&gt;1.1,"O.K.","FAIL.")</f>
        <v>O.K.</v>
      </c>
    </row>
  </sheetData>
  <sheetProtection password="CC27" sheet="1" objects="1" scenarios="1"/>
  <mergeCells count="16">
    <mergeCell ref="F177:G177"/>
    <mergeCell ref="F179:G179"/>
    <mergeCell ref="F190:G190"/>
    <mergeCell ref="F193:G193"/>
    <mergeCell ref="F182:G182"/>
    <mergeCell ref="F183:G183"/>
    <mergeCell ref="F185:G185"/>
    <mergeCell ref="F189:G189"/>
    <mergeCell ref="B71:J71"/>
    <mergeCell ref="B72:J72"/>
    <mergeCell ref="F175:G175"/>
    <mergeCell ref="F176:G176"/>
    <mergeCell ref="A4:K4"/>
    <mergeCell ref="A5:K5"/>
    <mergeCell ref="O12:P12"/>
    <mergeCell ref="A58:K58"/>
  </mergeCells>
  <dataValidations count="1">
    <dataValidation type="list" allowBlank="1" showInputMessage="1" showErrorMessage="1" prompt="ป้อนค่ากำลังรับแรงดึงที่ยอมให้ของเหล็ก&#10;รูปพรรณ  มีให้เลือกใช้ดังนี้&#10;        - 2,400 สำหรับเหล็กเกรด Fe-24&#10;        - 3,000 สำหรับเหล็กเกรด Fe-30" sqref="O14">
      <formula1>$S$6:$S$7</formula1>
    </dataValidation>
  </dataValidations>
  <printOptions/>
  <pageMargins left="0.75" right="0.75" top="1" bottom="1" header="0.5" footer="0.5"/>
  <pageSetup horizontalDpi="600" verticalDpi="600" orientation="portrait" paperSize="9" scale="73" r:id="rId2"/>
  <rowBreaks count="3" manualBreakCount="3">
    <brk id="70" max="255" man="1"/>
    <brk id="108" max="255" man="1"/>
    <brk id="14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Personal</cp:lastModifiedBy>
  <cp:lastPrinted>2008-09-06T15:36:44Z</cp:lastPrinted>
  <dcterms:created xsi:type="dcterms:W3CDTF">2008-01-27T02:40:41Z</dcterms:created>
  <dcterms:modified xsi:type="dcterms:W3CDTF">2008-09-19T03:02:09Z</dcterms:modified>
  <cp:category/>
  <cp:version/>
  <cp:contentType/>
  <cp:contentStatus/>
</cp:coreProperties>
</file>